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202300"/>
  <mc:AlternateContent xmlns:mc="http://schemas.openxmlformats.org/markup-compatibility/2006">
    <mc:Choice Requires="x15">
      <x15ac:absPath xmlns:x15ac="http://schemas.microsoft.com/office/spreadsheetml/2010/11/ac" url="K:\CPR\NSSE\NSSE Shorts\HECVAT VPAT Data Security\"/>
    </mc:Choice>
  </mc:AlternateContent>
  <xr:revisionPtr revIDLastSave="0" documentId="13_ncr:1_{D78494A8-7AFF-4C76-8869-6598746C7139}" xr6:coauthVersionLast="47" xr6:coauthVersionMax="47" xr10:uidLastSave="{00000000-0000-0000-0000-000000000000}"/>
  <bookViews>
    <workbookView xWindow="4275" yWindow="540" windowWidth="22605" windowHeight="1440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4" l="1"/>
  <c r="D18" i="10"/>
  <c r="B29" i="4" l="1"/>
  <c r="D57" i="22"/>
  <c r="D58" i="22"/>
  <c r="D59" i="22"/>
  <c r="D60" i="22"/>
  <c r="D61" i="22"/>
  <c r="D62" i="22"/>
  <c r="D63" i="22"/>
  <c r="D64" i="22"/>
  <c r="D56" i="22"/>
  <c r="A32" i="3"/>
  <c r="E87" i="14" l="1"/>
  <c r="D110" i="25" s="1"/>
  <c r="E86" i="14"/>
  <c r="D109" i="25" s="1"/>
  <c r="E85" i="14"/>
  <c r="D108" i="25" s="1"/>
  <c r="E84" i="14"/>
  <c r="D107" i="25" s="1"/>
  <c r="E83" i="14"/>
  <c r="D106" i="25" s="1"/>
  <c r="E82" i="14"/>
  <c r="D105" i="25" s="1"/>
  <c r="E81" i="14"/>
  <c r="D104" i="25" s="1"/>
  <c r="E80" i="14"/>
  <c r="D103" i="25" s="1"/>
  <c r="E79" i="14"/>
  <c r="D102" i="25" s="1"/>
  <c r="E78" i="14"/>
  <c r="D101" i="25" s="1"/>
  <c r="E77" i="14"/>
  <c r="D100" i="25" s="1"/>
  <c r="E76" i="14"/>
  <c r="D99" i="25" s="1"/>
  <c r="E72" i="14"/>
  <c r="D95" i="25" s="1"/>
  <c r="E61" i="14"/>
  <c r="D84" i="25" s="1"/>
  <c r="E35" i="14"/>
  <c r="D58" i="25" s="1"/>
  <c r="E67" i="8"/>
  <c r="D126" i="22" s="1"/>
  <c r="E38" i="8"/>
  <c r="D97" i="22" s="1"/>
  <c r="E37" i="8"/>
  <c r="D96" i="22" s="1"/>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85" i="12"/>
  <c r="F84" i="12"/>
  <c r="F83" i="12"/>
  <c r="F82" i="12"/>
  <c r="F81" i="12"/>
  <c r="F80" i="12"/>
  <c r="F79" i="12"/>
  <c r="F78" i="12"/>
  <c r="F77" i="12"/>
  <c r="F76" i="12"/>
  <c r="F74" i="12"/>
  <c r="F73" i="12"/>
  <c r="F72" i="12"/>
  <c r="F71" i="12"/>
  <c r="F70" i="12"/>
  <c r="F69" i="12"/>
  <c r="F68" i="12"/>
  <c r="F67" i="12"/>
  <c r="F66" i="12"/>
  <c r="F65" i="12"/>
  <c r="F64" i="12"/>
  <c r="F63"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1" i="12"/>
  <c r="F30" i="12"/>
  <c r="F29" i="12"/>
  <c r="F28" i="12"/>
  <c r="F27" i="12"/>
  <c r="F26" i="12"/>
  <c r="F25" i="12"/>
  <c r="F24" i="12"/>
  <c r="F23" i="12"/>
  <c r="F21" i="12"/>
  <c r="F20" i="12"/>
  <c r="F19" i="12"/>
  <c r="F18" i="12"/>
  <c r="F37" i="11"/>
  <c r="F36" i="11"/>
  <c r="F35" i="11"/>
  <c r="F34" i="11"/>
  <c r="F33" i="11"/>
  <c r="F32" i="11"/>
  <c r="F31" i="11"/>
  <c r="F30" i="11"/>
  <c r="F29" i="11"/>
  <c r="F28" i="11"/>
  <c r="F27" i="11"/>
  <c r="F26" i="11"/>
  <c r="F25" i="11"/>
  <c r="F24" i="11"/>
  <c r="F23" i="11"/>
  <c r="F22" i="11"/>
  <c r="F21" i="11"/>
  <c r="F20" i="11"/>
  <c r="F18" i="11"/>
  <c r="F74" i="10"/>
  <c r="F73" i="10"/>
  <c r="F72" i="10"/>
  <c r="F71" i="10"/>
  <c r="F70" i="10"/>
  <c r="F69" i="10"/>
  <c r="F67" i="10"/>
  <c r="F66" i="10"/>
  <c r="F65" i="10"/>
  <c r="F64" i="10"/>
  <c r="F62" i="10"/>
  <c r="F61" i="10"/>
  <c r="F60" i="10"/>
  <c r="F59" i="10"/>
  <c r="F58" i="10"/>
  <c r="F57" i="10"/>
  <c r="F56" i="10"/>
  <c r="F55" i="10"/>
  <c r="F54" i="10"/>
  <c r="F53" i="10"/>
  <c r="F52"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8" i="10"/>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24" i="9"/>
  <c r="F23" i="9"/>
  <c r="F22" i="9"/>
  <c r="F21" i="9"/>
  <c r="F20" i="9"/>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59" i="25"/>
  <c r="H259" i="25"/>
  <c r="F259" i="25"/>
  <c r="J258" i="25"/>
  <c r="H258" i="25"/>
  <c r="F258" i="25"/>
  <c r="J257" i="25"/>
  <c r="H257" i="25"/>
  <c r="F257" i="25"/>
  <c r="J256" i="25"/>
  <c r="H256" i="25"/>
  <c r="F256" i="25"/>
  <c r="J255" i="25"/>
  <c r="H255" i="25"/>
  <c r="F255" i="25"/>
  <c r="J254" i="25"/>
  <c r="H254" i="25"/>
  <c r="F254" i="25"/>
  <c r="J253" i="25"/>
  <c r="H253" i="25"/>
  <c r="F253" i="25"/>
  <c r="J252" i="25"/>
  <c r="H252" i="25"/>
  <c r="F252" i="25"/>
  <c r="J251" i="25"/>
  <c r="H251" i="25"/>
  <c r="F251" i="25"/>
  <c r="J250" i="25"/>
  <c r="H250" i="25"/>
  <c r="F250" i="25"/>
  <c r="J249" i="25"/>
  <c r="H249" i="25"/>
  <c r="F249" i="25"/>
  <c r="J248" i="25"/>
  <c r="H248" i="25"/>
  <c r="F248" i="25"/>
  <c r="J246" i="25"/>
  <c r="H246" i="25"/>
  <c r="F246" i="25"/>
  <c r="J245" i="25"/>
  <c r="H245" i="25"/>
  <c r="F245" i="25"/>
  <c r="J244" i="25"/>
  <c r="H244" i="25"/>
  <c r="F244" i="25"/>
  <c r="J243" i="25"/>
  <c r="H243" i="25"/>
  <c r="F243" i="25"/>
  <c r="J242" i="25"/>
  <c r="H242" i="25"/>
  <c r="F242" i="25"/>
  <c r="J241" i="25"/>
  <c r="H241" i="25"/>
  <c r="F241" i="25"/>
  <c r="J240" i="25"/>
  <c r="H240" i="25"/>
  <c r="F240" i="25"/>
  <c r="J239" i="25"/>
  <c r="H239" i="25"/>
  <c r="F239" i="25"/>
  <c r="J238" i="25"/>
  <c r="H238" i="25"/>
  <c r="F238" i="25"/>
  <c r="J237" i="25"/>
  <c r="H237" i="25"/>
  <c r="F237" i="25"/>
  <c r="J236" i="25"/>
  <c r="H236" i="25"/>
  <c r="F236" i="25"/>
  <c r="J235" i="25"/>
  <c r="H235" i="25"/>
  <c r="F235" i="25"/>
  <c r="J234" i="25"/>
  <c r="H234" i="25"/>
  <c r="F234" i="25"/>
  <c r="J233" i="25"/>
  <c r="H233" i="25"/>
  <c r="F233" i="25"/>
  <c r="J232" i="25"/>
  <c r="H232" i="25"/>
  <c r="F232" i="25"/>
  <c r="J231" i="25"/>
  <c r="H231" i="25"/>
  <c r="F231" i="25"/>
  <c r="J230" i="25"/>
  <c r="H230" i="25"/>
  <c r="F230" i="25"/>
  <c r="J229" i="25"/>
  <c r="H229" i="25"/>
  <c r="F229" i="25"/>
  <c r="J228" i="25"/>
  <c r="H228" i="25"/>
  <c r="F228" i="25"/>
  <c r="J227" i="25"/>
  <c r="H227" i="25"/>
  <c r="F227" i="25"/>
  <c r="J226" i="25"/>
  <c r="H226" i="25"/>
  <c r="F226" i="25"/>
  <c r="J225" i="25"/>
  <c r="H225" i="25"/>
  <c r="F225" i="25"/>
  <c r="J224" i="25"/>
  <c r="H224" i="25"/>
  <c r="F224" i="25"/>
  <c r="J223" i="25"/>
  <c r="H223" i="25"/>
  <c r="F223" i="25"/>
  <c r="J222" i="25"/>
  <c r="H222" i="25"/>
  <c r="F222" i="25"/>
  <c r="J221" i="25"/>
  <c r="H221" i="25"/>
  <c r="F221" i="25"/>
  <c r="J220" i="25"/>
  <c r="H220" i="25"/>
  <c r="F220" i="25"/>
  <c r="J219" i="25"/>
  <c r="H219" i="25"/>
  <c r="F219" i="25"/>
  <c r="J218" i="25"/>
  <c r="H218" i="25"/>
  <c r="F218" i="25"/>
  <c r="J216" i="25"/>
  <c r="H216" i="25"/>
  <c r="F216" i="25"/>
  <c r="J215" i="25"/>
  <c r="H215" i="25"/>
  <c r="F215" i="25"/>
  <c r="J214" i="25"/>
  <c r="H214" i="25"/>
  <c r="F214" i="25"/>
  <c r="J213" i="25"/>
  <c r="H213" i="25"/>
  <c r="F213" i="25"/>
  <c r="J211" i="25"/>
  <c r="H211" i="25"/>
  <c r="F211" i="25"/>
  <c r="J210" i="25"/>
  <c r="H210" i="25"/>
  <c r="F210" i="25"/>
  <c r="J209" i="25"/>
  <c r="H209" i="25"/>
  <c r="F209" i="25"/>
  <c r="J208" i="25"/>
  <c r="H208" i="25"/>
  <c r="F208" i="25"/>
  <c r="J206" i="25"/>
  <c r="H206" i="25"/>
  <c r="F206" i="25"/>
  <c r="J205" i="25"/>
  <c r="H205" i="25"/>
  <c r="F205" i="25"/>
  <c r="J204" i="25"/>
  <c r="H204" i="25"/>
  <c r="F204" i="25"/>
  <c r="J203" i="25"/>
  <c r="H203" i="25"/>
  <c r="F203" i="25"/>
  <c r="J202" i="25"/>
  <c r="H202" i="25"/>
  <c r="F202" i="25"/>
  <c r="J201" i="25"/>
  <c r="H201" i="25"/>
  <c r="F201" i="25"/>
  <c r="J200" i="25"/>
  <c r="H200" i="25"/>
  <c r="F200" i="25"/>
  <c r="J198" i="25"/>
  <c r="H198" i="25"/>
  <c r="F198" i="25"/>
  <c r="J197" i="25"/>
  <c r="H197" i="25"/>
  <c r="F197" i="25"/>
  <c r="J196" i="25"/>
  <c r="H196" i="25"/>
  <c r="F196" i="25"/>
  <c r="J195" i="25"/>
  <c r="H195" i="25"/>
  <c r="F195" i="25"/>
  <c r="J194" i="25"/>
  <c r="H194" i="25"/>
  <c r="F194" i="25"/>
  <c r="J193" i="25"/>
  <c r="H193" i="25"/>
  <c r="F193" i="25"/>
  <c r="J191" i="25"/>
  <c r="H191" i="25"/>
  <c r="F191" i="25"/>
  <c r="J190" i="25"/>
  <c r="H190" i="25"/>
  <c r="F190" i="25"/>
  <c r="J188" i="25"/>
  <c r="H188" i="25"/>
  <c r="F188" i="25"/>
  <c r="J187" i="25"/>
  <c r="H187" i="25"/>
  <c r="F187" i="25"/>
  <c r="J186" i="25"/>
  <c r="H186" i="25"/>
  <c r="F186" i="25"/>
  <c r="J185" i="25"/>
  <c r="H185" i="25"/>
  <c r="F185" i="25"/>
  <c r="J184" i="25"/>
  <c r="H184" i="25"/>
  <c r="F184" i="25"/>
  <c r="J183" i="25"/>
  <c r="H183" i="25"/>
  <c r="F183" i="25"/>
  <c r="J182" i="25"/>
  <c r="H182" i="25"/>
  <c r="F182" i="25"/>
  <c r="J181" i="25"/>
  <c r="H181" i="25"/>
  <c r="F181" i="25"/>
  <c r="J180" i="25"/>
  <c r="H180" i="25"/>
  <c r="F180" i="25"/>
  <c r="J179" i="25"/>
  <c r="H179" i="25"/>
  <c r="F179" i="25"/>
  <c r="J178" i="25"/>
  <c r="H178" i="25"/>
  <c r="F178" i="25"/>
  <c r="J177" i="25"/>
  <c r="H177" i="25"/>
  <c r="F177" i="25"/>
  <c r="J176" i="25"/>
  <c r="H176" i="25"/>
  <c r="F176" i="25"/>
  <c r="J175" i="25"/>
  <c r="H175" i="25"/>
  <c r="F175" i="25"/>
  <c r="J174" i="25"/>
  <c r="H174" i="25"/>
  <c r="F174" i="25"/>
  <c r="J172" i="25"/>
  <c r="H172" i="25"/>
  <c r="F172" i="25"/>
  <c r="J171" i="25"/>
  <c r="H171" i="25"/>
  <c r="F171" i="25"/>
  <c r="J169" i="25"/>
  <c r="H169" i="25"/>
  <c r="F169" i="25"/>
  <c r="J168" i="25"/>
  <c r="H168" i="25"/>
  <c r="F168" i="25"/>
  <c r="J167" i="25"/>
  <c r="H167" i="25"/>
  <c r="F167" i="25"/>
  <c r="J166" i="25"/>
  <c r="H166" i="25"/>
  <c r="F166" i="25"/>
  <c r="J165" i="25"/>
  <c r="H165" i="25"/>
  <c r="F165" i="25"/>
  <c r="J163" i="25"/>
  <c r="H163" i="25"/>
  <c r="F163" i="25"/>
  <c r="J162" i="25"/>
  <c r="H162" i="25"/>
  <c r="F162" i="25"/>
  <c r="J161" i="25"/>
  <c r="H161" i="25"/>
  <c r="F161" i="25"/>
  <c r="J159" i="25"/>
  <c r="H159" i="25"/>
  <c r="F159" i="25"/>
  <c r="J158" i="25"/>
  <c r="H158" i="25"/>
  <c r="F158" i="25"/>
  <c r="J157" i="25"/>
  <c r="H157" i="25"/>
  <c r="F157" i="25"/>
  <c r="J156" i="25"/>
  <c r="H156" i="25"/>
  <c r="F156" i="25"/>
  <c r="J155" i="25"/>
  <c r="H155" i="25"/>
  <c r="F155" i="25"/>
  <c r="J154" i="25"/>
  <c r="H154" i="25"/>
  <c r="F154" i="25"/>
  <c r="J153" i="25"/>
  <c r="H153" i="25"/>
  <c r="F153" i="25"/>
  <c r="J152" i="25"/>
  <c r="H152" i="25"/>
  <c r="F152" i="25"/>
  <c r="J151" i="25"/>
  <c r="H151" i="25"/>
  <c r="F151" i="25"/>
  <c r="J149" i="25"/>
  <c r="H149" i="25"/>
  <c r="F149" i="25"/>
  <c r="J148" i="25"/>
  <c r="H148" i="25"/>
  <c r="F148" i="25"/>
  <c r="J147" i="25"/>
  <c r="H147" i="25"/>
  <c r="F147" i="25"/>
  <c r="J146" i="25"/>
  <c r="H146" i="25"/>
  <c r="F146" i="25"/>
  <c r="J144" i="25"/>
  <c r="H144" i="25"/>
  <c r="F144" i="25"/>
  <c r="J143" i="25"/>
  <c r="H143" i="25"/>
  <c r="F143"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49" i="10"/>
  <c r="E48" i="10"/>
  <c r="E45" i="10"/>
  <c r="E47" i="10"/>
  <c r="E46" i="10"/>
  <c r="E44" i="10"/>
  <c r="E43" i="10"/>
  <c r="E42" i="10"/>
  <c r="E41" i="10"/>
  <c r="E40" i="10"/>
  <c r="E39" i="10"/>
  <c r="E38" i="10"/>
  <c r="E37" i="10"/>
  <c r="E36" i="10"/>
  <c r="A23" i="16"/>
  <c r="E192" i="22" l="1"/>
  <c r="D192" i="22"/>
  <c r="E193" i="22"/>
  <c r="D193" i="22"/>
  <c r="E195" i="22"/>
  <c r="D195" i="22"/>
  <c r="E194" i="22"/>
  <c r="D194" i="22"/>
  <c r="E197" i="22"/>
  <c r="D197" i="22"/>
  <c r="E200" i="22"/>
  <c r="D200" i="22"/>
  <c r="E198" i="22"/>
  <c r="D198" i="22"/>
  <c r="E196" i="22"/>
  <c r="D196" i="22"/>
  <c r="E199" i="22"/>
  <c r="D199" i="22"/>
  <c r="E201" i="22"/>
  <c r="D201" i="22"/>
  <c r="E187" i="22"/>
  <c r="D187" i="22"/>
  <c r="E188" i="22"/>
  <c r="E191" i="25" s="1"/>
  <c r="D188" i="22"/>
  <c r="E189" i="22"/>
  <c r="D189" i="22"/>
  <c r="E190" i="22"/>
  <c r="D190" i="22"/>
  <c r="E191" i="22"/>
  <c r="D191" i="22"/>
  <c r="E22" i="8"/>
  <c r="A351" i="16"/>
  <c r="C351" i="16"/>
  <c r="D351" i="16"/>
  <c r="I2" i="25"/>
  <c r="J2" i="21"/>
  <c r="I2" i="22"/>
  <c r="F2" i="14"/>
  <c r="F2" i="13"/>
  <c r="F2" i="12"/>
  <c r="F2" i="11"/>
  <c r="F2" i="10"/>
  <c r="F2" i="9"/>
  <c r="F2" i="8"/>
  <c r="F2" i="4"/>
  <c r="E81" i="22" l="1"/>
  <c r="E136" i="25" s="1"/>
  <c r="D81" i="22"/>
  <c r="A10" i="25"/>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E186" i="22" l="1"/>
  <c r="E190" i="25" s="1"/>
  <c r="D186" i="22"/>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B36" i="4"/>
  <c r="E35" i="4"/>
  <c r="B35" i="4"/>
  <c r="E78" i="22" l="1"/>
  <c r="D78" i="22"/>
  <c r="E79" i="22"/>
  <c r="E134" i="25" s="1"/>
  <c r="D79" i="22"/>
  <c r="G24" i="20"/>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A230" i="22"/>
  <c r="A231" i="22"/>
  <c r="G143" i="25" s="1"/>
  <c r="A232" i="22"/>
  <c r="A233" i="22"/>
  <c r="G144" i="25" s="1"/>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I157" i="25" s="1"/>
  <c r="A254" i="22"/>
  <c r="A255" i="22"/>
  <c r="A257" i="22"/>
  <c r="A258" i="22"/>
  <c r="G219" i="25" s="1"/>
  <c r="A259" i="22"/>
  <c r="G220" i="25" s="1"/>
  <c r="A260" i="22"/>
  <c r="G221" i="25" s="1"/>
  <c r="A261" i="22"/>
  <c r="A262" i="22"/>
  <c r="G223" i="25" s="1"/>
  <c r="A263" i="22"/>
  <c r="G224" i="25" s="1"/>
  <c r="A264" i="22"/>
  <c r="G225" i="25" s="1"/>
  <c r="A265" i="22"/>
  <c r="A266" i="22"/>
  <c r="G227" i="25" s="1"/>
  <c r="A267" i="22"/>
  <c r="G228" i="25" s="1"/>
  <c r="A268" i="22"/>
  <c r="G229" i="25" s="1"/>
  <c r="A269" i="22"/>
  <c r="A270" i="22"/>
  <c r="G231" i="25" s="1"/>
  <c r="A271" i="22"/>
  <c r="G232" i="25" s="1"/>
  <c r="A272" i="22"/>
  <c r="G233" i="25" s="1"/>
  <c r="A273" i="22"/>
  <c r="A274" i="22"/>
  <c r="G235" i="25" s="1"/>
  <c r="A275" i="22"/>
  <c r="G236" i="25" s="1"/>
  <c r="A276" i="22"/>
  <c r="G237" i="25" s="1"/>
  <c r="A277" i="22"/>
  <c r="A278" i="22"/>
  <c r="G239" i="25" s="1"/>
  <c r="A279" i="22"/>
  <c r="G240" i="25" s="1"/>
  <c r="A280" i="22"/>
  <c r="G241" i="25" s="1"/>
  <c r="A281" i="22"/>
  <c r="A282" i="22"/>
  <c r="G243" i="25" s="1"/>
  <c r="A283" i="22"/>
  <c r="G244" i="25" s="1"/>
  <c r="A284" i="22"/>
  <c r="G245" i="25" s="1"/>
  <c r="A285" i="22"/>
  <c r="A287" i="22"/>
  <c r="A288" i="22"/>
  <c r="I249" i="25" s="1"/>
  <c r="A289" i="22"/>
  <c r="G250" i="25" s="1"/>
  <c r="A290" i="22"/>
  <c r="A291" i="22"/>
  <c r="A292" i="22"/>
  <c r="I253" i="25" s="1"/>
  <c r="A293" i="22"/>
  <c r="I254" i="25" s="1"/>
  <c r="A294" i="22"/>
  <c r="A295" i="22"/>
  <c r="A296" i="22"/>
  <c r="I257" i="25" s="1"/>
  <c r="A297" i="22"/>
  <c r="G258" i="25" s="1"/>
  <c r="A298" i="22"/>
  <c r="A300" i="22"/>
  <c r="A301" i="22"/>
  <c r="A302" i="22"/>
  <c r="A303" i="22"/>
  <c r="A304" i="22"/>
  <c r="A305" i="22"/>
  <c r="A306" i="22"/>
  <c r="A307" i="22"/>
  <c r="A308" i="22"/>
  <c r="A309" i="22"/>
  <c r="A171" i="22"/>
  <c r="A170" i="22" s="1"/>
  <c r="A172" i="22"/>
  <c r="A173" i="22"/>
  <c r="A174" i="22"/>
  <c r="A175" i="22"/>
  <c r="A176" i="22"/>
  <c r="A177" i="22"/>
  <c r="A178" i="22"/>
  <c r="I163" i="25" s="1"/>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I193" i="25" s="1"/>
  <c r="A204" i="22"/>
  <c r="A205" i="22"/>
  <c r="A206" i="22"/>
  <c r="G196" i="25" s="1"/>
  <c r="A207" i="22"/>
  <c r="I197" i="25" s="1"/>
  <c r="A208" i="22"/>
  <c r="A209" i="22"/>
  <c r="A210" i="22"/>
  <c r="A211" i="22"/>
  <c r="I198" i="25" s="1"/>
  <c r="A212" i="22"/>
  <c r="A213" i="22"/>
  <c r="A215" i="22"/>
  <c r="A214" i="22" s="1"/>
  <c r="A216" i="22"/>
  <c r="G209" i="25" s="1"/>
  <c r="A217" i="22"/>
  <c r="I210" i="25" s="1"/>
  <c r="A218" i="22"/>
  <c r="G211" i="25" s="1"/>
  <c r="A220" i="22"/>
  <c r="A221" i="22"/>
  <c r="A222" i="22"/>
  <c r="A223" i="22"/>
  <c r="A224" i="22"/>
  <c r="A225" i="22"/>
  <c r="A128" i="22"/>
  <c r="A127" i="22" s="1"/>
  <c r="A129" i="22"/>
  <c r="A130" i="22"/>
  <c r="A131" i="22"/>
  <c r="A132" i="22"/>
  <c r="A133" i="22"/>
  <c r="A134" i="22"/>
  <c r="A135" i="22"/>
  <c r="A136" i="22"/>
  <c r="A137" i="22"/>
  <c r="A138" i="22"/>
  <c r="A139" i="22"/>
  <c r="I167" i="25" s="1"/>
  <c r="A140" i="22"/>
  <c r="I168" i="25" s="1"/>
  <c r="A141" i="22"/>
  <c r="A142" i="22"/>
  <c r="A143" i="22"/>
  <c r="A144" i="22"/>
  <c r="I169" i="25" s="1"/>
  <c r="A145" i="22"/>
  <c r="A147" i="22"/>
  <c r="A148" i="22"/>
  <c r="A149" i="22"/>
  <c r="G174" i="25" s="1"/>
  <c r="A150" i="22"/>
  <c r="A151" i="22"/>
  <c r="A152" i="22"/>
  <c r="I176" i="25" s="1"/>
  <c r="A153" i="22"/>
  <c r="G177" i="25" s="1"/>
  <c r="A154" i="22"/>
  <c r="A155" i="22"/>
  <c r="G179" i="25" s="1"/>
  <c r="A156" i="22"/>
  <c r="G180" i="25" s="1"/>
  <c r="A157" i="22"/>
  <c r="G181" i="25" s="1"/>
  <c r="A158" i="22"/>
  <c r="A159" i="22"/>
  <c r="A160" i="22"/>
  <c r="G184" i="25" s="1"/>
  <c r="A161" i="22"/>
  <c r="G185" i="25" s="1"/>
  <c r="A162" i="22"/>
  <c r="A163" i="22"/>
  <c r="I186" i="25" s="1"/>
  <c r="A164" i="22"/>
  <c r="A165" i="22"/>
  <c r="A166" i="22"/>
  <c r="A167" i="22"/>
  <c r="A168" i="22"/>
  <c r="G187" i="25" s="1"/>
  <c r="A169" i="22"/>
  <c r="G188" i="25" s="1"/>
  <c r="A126" i="22"/>
  <c r="I206" i="25" s="1"/>
  <c r="A125" i="22"/>
  <c r="A124" i="22"/>
  <c r="A123" i="22"/>
  <c r="I204" i="25" s="1"/>
  <c r="A122" i="22"/>
  <c r="I203" i="25" s="1"/>
  <c r="A121" i="22"/>
  <c r="G202" i="25" s="1"/>
  <c r="A120" i="22"/>
  <c r="A119" i="22"/>
  <c r="A118" i="22"/>
  <c r="A117" i="22"/>
  <c r="A116" i="22"/>
  <c r="A115" i="22"/>
  <c r="I201" i="25" s="1"/>
  <c r="A114" i="22"/>
  <c r="I200" i="25" s="1"/>
  <c r="A113" i="22"/>
  <c r="A112" i="22"/>
  <c r="A110" i="22"/>
  <c r="A109" i="22"/>
  <c r="A108" i="22"/>
  <c r="A107" i="22"/>
  <c r="A106" i="22"/>
  <c r="A105" i="22"/>
  <c r="A104" i="22"/>
  <c r="A103" i="22"/>
  <c r="A102" i="22"/>
  <c r="A101" i="22"/>
  <c r="A100" i="22"/>
  <c r="A99" i="22"/>
  <c r="A98" i="22"/>
  <c r="A97" i="22"/>
  <c r="A96" i="22"/>
  <c r="I172" i="25" s="1"/>
  <c r="A95" i="22"/>
  <c r="A93" i="22"/>
  <c r="A92" i="22"/>
  <c r="I149" i="25" s="1"/>
  <c r="A91" i="22"/>
  <c r="G148" i="25" s="1"/>
  <c r="A90" i="22"/>
  <c r="I147" i="25" s="1"/>
  <c r="A89" i="22"/>
  <c r="A87" i="22"/>
  <c r="I141" i="25" s="1"/>
  <c r="A86" i="22"/>
  <c r="I140" i="25" s="1"/>
  <c r="A85" i="22"/>
  <c r="A84" i="22"/>
  <c r="I138" i="25" s="1"/>
  <c r="A83" i="22"/>
  <c r="I137" i="25" s="1"/>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I126" i="25" s="1"/>
  <c r="A67" i="22"/>
  <c r="G127" i="25" s="1"/>
  <c r="A68" i="22"/>
  <c r="A69" i="22"/>
  <c r="A70" i="22"/>
  <c r="A72" i="22"/>
  <c r="A73" i="22"/>
  <c r="A74" i="22"/>
  <c r="A75" i="22"/>
  <c r="A76" i="22"/>
  <c r="A77" i="22"/>
  <c r="G39" i="22"/>
  <c r="E52" i="14"/>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E75" i="25" l="1"/>
  <c r="D75" i="25"/>
  <c r="I342" i="22"/>
  <c r="G342" i="22"/>
  <c r="I318" i="22"/>
  <c r="G318" i="22"/>
  <c r="I341" i="22"/>
  <c r="G341" i="22"/>
  <c r="I317" i="22"/>
  <c r="G317" i="22"/>
  <c r="I316" i="22"/>
  <c r="I307" i="20" s="1"/>
  <c r="G316" i="22"/>
  <c r="G307" i="20" s="1"/>
  <c r="I320" i="22"/>
  <c r="G320" i="22"/>
  <c r="I339" i="22"/>
  <c r="G339" i="22"/>
  <c r="I338" i="22"/>
  <c r="G338" i="22"/>
  <c r="I315" i="22"/>
  <c r="I306" i="20" s="1"/>
  <c r="G315" i="22"/>
  <c r="G306" i="20" s="1"/>
  <c r="I337" i="22"/>
  <c r="G337" i="22"/>
  <c r="A313" i="22"/>
  <c r="I314" i="22"/>
  <c r="G314" i="22"/>
  <c r="I336" i="22"/>
  <c r="G336" i="22"/>
  <c r="I312" i="22"/>
  <c r="G312" i="22"/>
  <c r="I335" i="22"/>
  <c r="G335" i="22"/>
  <c r="A310" i="22"/>
  <c r="I311" i="22"/>
  <c r="I303" i="20" s="1"/>
  <c r="G311" i="22"/>
  <c r="G303" i="20" s="1"/>
  <c r="I334" i="22"/>
  <c r="G334" i="22"/>
  <c r="G322" i="20" s="1"/>
  <c r="I333" i="22"/>
  <c r="G333" i="22"/>
  <c r="A331" i="22"/>
  <c r="I332" i="22"/>
  <c r="G332" i="22"/>
  <c r="I330" i="22"/>
  <c r="G330" i="22"/>
  <c r="I329" i="22"/>
  <c r="G329" i="22"/>
  <c r="I328" i="22"/>
  <c r="G328" i="22"/>
  <c r="I327" i="22"/>
  <c r="G327" i="22"/>
  <c r="I324" i="22"/>
  <c r="G324" i="22"/>
  <c r="I346" i="22"/>
  <c r="G346" i="22"/>
  <c r="I323" i="22"/>
  <c r="I313" i="20" s="1"/>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14" i="20"/>
  <c r="J214" i="20"/>
  <c r="G214" i="20"/>
  <c r="H174" i="20"/>
  <c r="J174" i="20"/>
  <c r="H142" i="20"/>
  <c r="I142" i="20"/>
  <c r="J142" i="20"/>
  <c r="H62" i="20"/>
  <c r="J62" i="20"/>
  <c r="H293" i="20"/>
  <c r="G293" i="20"/>
  <c r="J293" i="20"/>
  <c r="I293" i="20"/>
  <c r="H261" i="20"/>
  <c r="G261" i="20"/>
  <c r="J261" i="20"/>
  <c r="I261" i="20"/>
  <c r="G213" i="20"/>
  <c r="J213" i="20"/>
  <c r="H213" i="20"/>
  <c r="J165" i="20"/>
  <c r="I165" i="20"/>
  <c r="H165" i="20"/>
  <c r="G133" i="20"/>
  <c r="J133" i="20"/>
  <c r="H133" i="20"/>
  <c r="J93" i="20"/>
  <c r="H93" i="20"/>
  <c r="I93" i="20"/>
  <c r="J85" i="20"/>
  <c r="I85" i="20"/>
  <c r="H85" i="20"/>
  <c r="J45" i="20"/>
  <c r="H45" i="20"/>
  <c r="J292" i="20"/>
  <c r="I292" i="20"/>
  <c r="H292" i="20"/>
  <c r="G292" i="20"/>
  <c r="J276" i="20"/>
  <c r="I276" i="20"/>
  <c r="H276" i="20"/>
  <c r="G276" i="20"/>
  <c r="J260" i="20"/>
  <c r="I260" i="20"/>
  <c r="K260" i="20" s="1"/>
  <c r="H260" i="20"/>
  <c r="G260" i="20"/>
  <c r="J244" i="20"/>
  <c r="I244" i="20"/>
  <c r="H244" i="20"/>
  <c r="G244" i="20"/>
  <c r="H220" i="20"/>
  <c r="J220" i="20"/>
  <c r="H204" i="20"/>
  <c r="J204" i="20"/>
  <c r="G204" i="20"/>
  <c r="H188" i="20"/>
  <c r="J188" i="20"/>
  <c r="G188" i="20"/>
  <c r="H172" i="20"/>
  <c r="I172" i="20"/>
  <c r="J172" i="20"/>
  <c r="H148" i="20"/>
  <c r="J148" i="20"/>
  <c r="G148" i="20"/>
  <c r="H132" i="20"/>
  <c r="J132" i="20"/>
  <c r="G132" i="20"/>
  <c r="H108" i="20"/>
  <c r="J108" i="20"/>
  <c r="H92" i="20"/>
  <c r="I92" i="20"/>
  <c r="J92" i="20"/>
  <c r="H76" i="20"/>
  <c r="J76" i="20"/>
  <c r="H60" i="20"/>
  <c r="J60" i="20"/>
  <c r="H11" i="20"/>
  <c r="J11" i="20"/>
  <c r="J286" i="20"/>
  <c r="I286" i="20"/>
  <c r="H286" i="20"/>
  <c r="G286" i="20"/>
  <c r="J246" i="20"/>
  <c r="I246" i="20"/>
  <c r="H246" i="20"/>
  <c r="G246" i="20"/>
  <c r="H222" i="20"/>
  <c r="I222" i="20"/>
  <c r="J222" i="20"/>
  <c r="H198" i="20"/>
  <c r="J198" i="20"/>
  <c r="G198" i="20"/>
  <c r="H166" i="20"/>
  <c r="J166" i="20"/>
  <c r="H150" i="20"/>
  <c r="J150" i="20"/>
  <c r="G150" i="20"/>
  <c r="H126" i="20"/>
  <c r="J126" i="20"/>
  <c r="H110" i="20"/>
  <c r="I110" i="20"/>
  <c r="J110" i="20"/>
  <c r="H94" i="20"/>
  <c r="I94" i="20"/>
  <c r="J94" i="20"/>
  <c r="H70" i="20"/>
  <c r="J70" i="20"/>
  <c r="H30" i="20"/>
  <c r="I30" i="20"/>
  <c r="J30" i="20"/>
  <c r="H301" i="20"/>
  <c r="J301" i="20"/>
  <c r="I301" i="20"/>
  <c r="G301" i="20"/>
  <c r="H277" i="20"/>
  <c r="J277" i="20"/>
  <c r="I277" i="20"/>
  <c r="G277" i="20"/>
  <c r="G237" i="20"/>
  <c r="J237" i="20"/>
  <c r="H237" i="20"/>
  <c r="J221" i="20"/>
  <c r="H221" i="20"/>
  <c r="I221" i="20"/>
  <c r="G189" i="20"/>
  <c r="J189" i="20"/>
  <c r="H189" i="20"/>
  <c r="J149" i="20"/>
  <c r="H149" i="20"/>
  <c r="J117" i="20"/>
  <c r="I117" i="20"/>
  <c r="H117" i="20"/>
  <c r="H69" i="20"/>
  <c r="J69" i="20"/>
  <c r="H20" i="20"/>
  <c r="J20" i="20"/>
  <c r="J308" i="20"/>
  <c r="H308" i="20"/>
  <c r="J300" i="20"/>
  <c r="I300" i="20"/>
  <c r="H300" i="20"/>
  <c r="G300" i="20"/>
  <c r="J284" i="20"/>
  <c r="I284" i="20"/>
  <c r="H284" i="20"/>
  <c r="G284" i="20"/>
  <c r="J268" i="20"/>
  <c r="I268" i="20"/>
  <c r="H268" i="20"/>
  <c r="G268" i="20"/>
  <c r="J252" i="20"/>
  <c r="I252" i="20"/>
  <c r="H252" i="20"/>
  <c r="G252" i="20"/>
  <c r="H236" i="20"/>
  <c r="J236" i="20"/>
  <c r="H228" i="20"/>
  <c r="J228" i="20"/>
  <c r="H212" i="20"/>
  <c r="J212" i="20"/>
  <c r="G212" i="20"/>
  <c r="H196" i="20"/>
  <c r="J196" i="20"/>
  <c r="G196" i="20"/>
  <c r="H180" i="20"/>
  <c r="I180" i="20"/>
  <c r="J180" i="20"/>
  <c r="G180" i="20"/>
  <c r="H164" i="20"/>
  <c r="I164" i="20"/>
  <c r="J164" i="20"/>
  <c r="H156" i="20"/>
  <c r="J156" i="20"/>
  <c r="G156" i="20"/>
  <c r="H140" i="20"/>
  <c r="J140" i="20"/>
  <c r="G140" i="20"/>
  <c r="H124" i="20"/>
  <c r="J124" i="20"/>
  <c r="H116" i="20"/>
  <c r="I116" i="20"/>
  <c r="J116" i="20"/>
  <c r="H100" i="20"/>
  <c r="J100" i="20"/>
  <c r="H84" i="20"/>
  <c r="J84" i="20"/>
  <c r="G84" i="20"/>
  <c r="H68" i="20"/>
  <c r="J68" i="20"/>
  <c r="G52" i="20"/>
  <c r="H52" i="20"/>
  <c r="J52" i="20"/>
  <c r="G44" i="20"/>
  <c r="H44" i="20"/>
  <c r="J44" i="20"/>
  <c r="G36" i="20"/>
  <c r="H36" i="20"/>
  <c r="J36" i="20"/>
  <c r="H28" i="20"/>
  <c r="I28" i="20"/>
  <c r="J28" i="20"/>
  <c r="I19" i="20"/>
  <c r="H19" i="20"/>
  <c r="J19" i="20"/>
  <c r="H307" i="20"/>
  <c r="J307"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235" i="20"/>
  <c r="H235" i="20"/>
  <c r="J235" i="20"/>
  <c r="H227" i="20"/>
  <c r="J227" i="20"/>
  <c r="H219" i="20"/>
  <c r="J219" i="20"/>
  <c r="H211" i="20"/>
  <c r="J211" i="20"/>
  <c r="H203" i="20"/>
  <c r="J203" i="20"/>
  <c r="H195" i="20"/>
  <c r="J195" i="20"/>
  <c r="H187" i="20"/>
  <c r="J187" i="20"/>
  <c r="H179" i="20"/>
  <c r="I179" i="20"/>
  <c r="J179" i="20"/>
  <c r="G171" i="20"/>
  <c r="H171" i="20"/>
  <c r="J171" i="20"/>
  <c r="G163" i="20"/>
  <c r="H163" i="20"/>
  <c r="J163" i="20"/>
  <c r="H155" i="20"/>
  <c r="I155" i="20"/>
  <c r="J155" i="20"/>
  <c r="G147" i="20"/>
  <c r="H147" i="20"/>
  <c r="J147" i="20"/>
  <c r="H139" i="20"/>
  <c r="J139" i="20"/>
  <c r="G131" i="20"/>
  <c r="H131" i="20"/>
  <c r="J131" i="20"/>
  <c r="H123" i="20"/>
  <c r="I123" i="20"/>
  <c r="J123" i="20"/>
  <c r="H115" i="20"/>
  <c r="J115" i="20"/>
  <c r="H107" i="20"/>
  <c r="I107" i="20"/>
  <c r="J107" i="20"/>
  <c r="H99" i="20"/>
  <c r="I99" i="20"/>
  <c r="J99" i="20"/>
  <c r="H91" i="20"/>
  <c r="J91" i="20"/>
  <c r="H83" i="20"/>
  <c r="J83" i="20"/>
  <c r="I75" i="20"/>
  <c r="H75" i="20"/>
  <c r="J75" i="20"/>
  <c r="I67" i="20"/>
  <c r="H67" i="20"/>
  <c r="J67" i="20"/>
  <c r="H59" i="20"/>
  <c r="J59" i="20"/>
  <c r="H51" i="20"/>
  <c r="J51" i="20"/>
  <c r="G43" i="20"/>
  <c r="H43" i="20"/>
  <c r="J43" i="20"/>
  <c r="H35" i="20"/>
  <c r="G35" i="20"/>
  <c r="J35" i="20"/>
  <c r="I27" i="20"/>
  <c r="H27" i="20"/>
  <c r="J27" i="20"/>
  <c r="H18" i="20"/>
  <c r="J18" i="20"/>
  <c r="H10" i="20"/>
  <c r="J10" i="20"/>
  <c r="J294" i="20"/>
  <c r="I294" i="20"/>
  <c r="H294" i="20"/>
  <c r="G294" i="20"/>
  <c r="J262" i="20"/>
  <c r="I262" i="20"/>
  <c r="H262" i="20"/>
  <c r="G262" i="20"/>
  <c r="J238" i="20"/>
  <c r="I238" i="20"/>
  <c r="H238" i="20"/>
  <c r="G238" i="20"/>
  <c r="H230" i="20"/>
  <c r="J230" i="20"/>
  <c r="G230" i="20"/>
  <c r="H206" i="20"/>
  <c r="J206" i="20"/>
  <c r="G206" i="20"/>
  <c r="H182" i="20"/>
  <c r="J182" i="20"/>
  <c r="H158" i="20"/>
  <c r="J158" i="20"/>
  <c r="H134" i="20"/>
  <c r="J134" i="20"/>
  <c r="G134" i="20"/>
  <c r="H118" i="20"/>
  <c r="J118" i="20"/>
  <c r="G118" i="20"/>
  <c r="H102" i="20"/>
  <c r="I102" i="20"/>
  <c r="J102" i="20"/>
  <c r="H86" i="20"/>
  <c r="I86" i="20"/>
  <c r="J86" i="20"/>
  <c r="H78" i="20"/>
  <c r="J78" i="20"/>
  <c r="H54" i="20"/>
  <c r="J54" i="20"/>
  <c r="G46" i="20"/>
  <c r="H46" i="20"/>
  <c r="J46" i="20"/>
  <c r="G38" i="20"/>
  <c r="H38" i="20"/>
  <c r="J38" i="20"/>
  <c r="H21" i="20"/>
  <c r="J21" i="20"/>
  <c r="J13" i="20"/>
  <c r="H13" i="20"/>
  <c r="G13" i="20"/>
  <c r="H5" i="20"/>
  <c r="J5" i="20"/>
  <c r="H285" i="20"/>
  <c r="J285" i="20"/>
  <c r="I285" i="20"/>
  <c r="G285" i="20"/>
  <c r="H269" i="20"/>
  <c r="J269" i="20"/>
  <c r="I269" i="20"/>
  <c r="G269" i="20"/>
  <c r="H245" i="20"/>
  <c r="J245" i="20"/>
  <c r="I245" i="20"/>
  <c r="G245" i="20"/>
  <c r="G229" i="20"/>
  <c r="J229" i="20"/>
  <c r="H229" i="20"/>
  <c r="G197" i="20"/>
  <c r="J197" i="20"/>
  <c r="H197" i="20"/>
  <c r="J173" i="20"/>
  <c r="H173" i="20"/>
  <c r="I173" i="20"/>
  <c r="J141" i="20"/>
  <c r="H141" i="20"/>
  <c r="I141" i="20"/>
  <c r="G109" i="20"/>
  <c r="J109" i="20"/>
  <c r="H109" i="20"/>
  <c r="I61" i="20"/>
  <c r="H61" i="20"/>
  <c r="J61" i="20"/>
  <c r="J306" i="20"/>
  <c r="H306"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234" i="20"/>
  <c r="J234" i="20"/>
  <c r="G234" i="20"/>
  <c r="H226" i="20"/>
  <c r="J226" i="20"/>
  <c r="G226" i="20"/>
  <c r="H218" i="20"/>
  <c r="J218" i="20"/>
  <c r="G218" i="20"/>
  <c r="H210" i="20"/>
  <c r="J210" i="20"/>
  <c r="G210" i="20"/>
  <c r="H202" i="20"/>
  <c r="J202" i="20"/>
  <c r="G202" i="20"/>
  <c r="H194" i="20"/>
  <c r="J194" i="20"/>
  <c r="G194" i="20"/>
  <c r="H186" i="20"/>
  <c r="J186" i="20"/>
  <c r="H178" i="20"/>
  <c r="J178" i="20"/>
  <c r="G178" i="20"/>
  <c r="H170" i="20"/>
  <c r="J170" i="20"/>
  <c r="H162" i="20"/>
  <c r="J162" i="20"/>
  <c r="H154" i="20"/>
  <c r="J154" i="20"/>
  <c r="G154" i="20"/>
  <c r="H146" i="20"/>
  <c r="J146" i="20"/>
  <c r="G146" i="20"/>
  <c r="H138" i="20"/>
  <c r="J138" i="20"/>
  <c r="G138" i="20"/>
  <c r="H130" i="20"/>
  <c r="I130" i="20"/>
  <c r="J130" i="20"/>
  <c r="H122" i="20"/>
  <c r="J122" i="20"/>
  <c r="G122" i="20"/>
  <c r="H114" i="20"/>
  <c r="J114" i="20"/>
  <c r="G114" i="20"/>
  <c r="H106" i="20"/>
  <c r="I106" i="20"/>
  <c r="J106" i="20"/>
  <c r="H98" i="20"/>
  <c r="I98" i="20"/>
  <c r="J98" i="20"/>
  <c r="H90" i="20"/>
  <c r="I90" i="20"/>
  <c r="J90" i="20"/>
  <c r="H82" i="20"/>
  <c r="I82" i="20"/>
  <c r="J82" i="20"/>
  <c r="H74" i="20"/>
  <c r="I74" i="20"/>
  <c r="J74" i="20"/>
  <c r="H66" i="20"/>
  <c r="J66" i="20"/>
  <c r="H58" i="20"/>
  <c r="J58" i="20"/>
  <c r="H50" i="20"/>
  <c r="I50" i="20"/>
  <c r="J50" i="20"/>
  <c r="G42" i="20"/>
  <c r="H42" i="20"/>
  <c r="J42" i="20"/>
  <c r="G34" i="20"/>
  <c r="H34" i="20"/>
  <c r="J34" i="20"/>
  <c r="H26" i="20"/>
  <c r="I26" i="20"/>
  <c r="J26" i="20"/>
  <c r="H17" i="20"/>
  <c r="J17" i="20"/>
  <c r="J9" i="20"/>
  <c r="H9" i="20"/>
  <c r="H305" i="20"/>
  <c r="J305" i="20"/>
  <c r="H289" i="20"/>
  <c r="J289" i="20"/>
  <c r="I289" i="20"/>
  <c r="G289" i="20"/>
  <c r="H281" i="20"/>
  <c r="G281" i="20"/>
  <c r="J281" i="20"/>
  <c r="I281" i="20"/>
  <c r="H265" i="20"/>
  <c r="G265" i="20"/>
  <c r="J265" i="20"/>
  <c r="I265" i="20"/>
  <c r="H249" i="20"/>
  <c r="G249" i="20"/>
  <c r="J249" i="20"/>
  <c r="I249" i="20"/>
  <c r="G233" i="20"/>
  <c r="J233" i="20"/>
  <c r="H233" i="20"/>
  <c r="J217" i="20"/>
  <c r="H217" i="20"/>
  <c r="I217" i="20"/>
  <c r="G201" i="20"/>
  <c r="J201" i="20"/>
  <c r="H201" i="20"/>
  <c r="G193" i="20"/>
  <c r="J193" i="20"/>
  <c r="H193" i="20"/>
  <c r="J177" i="20"/>
  <c r="H177" i="20"/>
  <c r="J161" i="20"/>
  <c r="H161" i="20"/>
  <c r="I161" i="20"/>
  <c r="J145" i="20"/>
  <c r="H145" i="20"/>
  <c r="J137" i="20"/>
  <c r="H137" i="20"/>
  <c r="G121" i="20"/>
  <c r="J121" i="20"/>
  <c r="H121" i="20"/>
  <c r="J113" i="20"/>
  <c r="H113" i="20"/>
  <c r="J105" i="20"/>
  <c r="H105" i="20"/>
  <c r="I105" i="20"/>
  <c r="J97" i="20"/>
  <c r="H97" i="20"/>
  <c r="I97" i="20"/>
  <c r="J81" i="20"/>
  <c r="H81" i="20"/>
  <c r="I81" i="20"/>
  <c r="J73" i="20"/>
  <c r="H73" i="20"/>
  <c r="H65" i="20"/>
  <c r="J65" i="20"/>
  <c r="J57" i="20"/>
  <c r="H57" i="20"/>
  <c r="H49" i="20"/>
  <c r="J49" i="20"/>
  <c r="J41" i="20"/>
  <c r="G41" i="20"/>
  <c r="H41" i="20"/>
  <c r="H33" i="20"/>
  <c r="J33" i="20"/>
  <c r="J25" i="20"/>
  <c r="H25" i="20"/>
  <c r="H16" i="20"/>
  <c r="I16" i="20"/>
  <c r="J16" i="20"/>
  <c r="H8" i="20"/>
  <c r="J8" i="20"/>
  <c r="J304" i="20"/>
  <c r="H304"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2" i="20"/>
  <c r="J232" i="20"/>
  <c r="H224" i="20"/>
  <c r="J224" i="20"/>
  <c r="H216" i="20"/>
  <c r="J216" i="20"/>
  <c r="H208" i="20"/>
  <c r="J208" i="20"/>
  <c r="G208" i="20"/>
  <c r="H200" i="20"/>
  <c r="J200" i="20"/>
  <c r="G200" i="20"/>
  <c r="H192" i="20"/>
  <c r="J192" i="20"/>
  <c r="G192" i="20"/>
  <c r="H184" i="20"/>
  <c r="J184" i="20"/>
  <c r="H176" i="20"/>
  <c r="I176" i="20"/>
  <c r="J176" i="20"/>
  <c r="H168" i="20"/>
  <c r="I168" i="20"/>
  <c r="J168" i="20"/>
  <c r="H160" i="20"/>
  <c r="J160" i="20"/>
  <c r="H152" i="20"/>
  <c r="J152" i="20"/>
  <c r="H144" i="20"/>
  <c r="J144" i="20"/>
  <c r="G144" i="20"/>
  <c r="H136" i="20"/>
  <c r="J136" i="20"/>
  <c r="G136" i="20"/>
  <c r="H128" i="20"/>
  <c r="I128" i="20"/>
  <c r="J128" i="20"/>
  <c r="H120" i="20"/>
  <c r="J120" i="20"/>
  <c r="G120" i="20"/>
  <c r="H112" i="20"/>
  <c r="J112" i="20"/>
  <c r="G112" i="20"/>
  <c r="H104" i="20"/>
  <c r="J104" i="20"/>
  <c r="H96" i="20"/>
  <c r="J96" i="20"/>
  <c r="H88" i="20"/>
  <c r="J88" i="20"/>
  <c r="H80" i="20"/>
  <c r="J80" i="20"/>
  <c r="G80" i="20"/>
  <c r="H72" i="20"/>
  <c r="J72" i="20"/>
  <c r="H64" i="20"/>
  <c r="J64" i="20"/>
  <c r="H56" i="20"/>
  <c r="J56" i="20"/>
  <c r="G48" i="20"/>
  <c r="H48" i="20"/>
  <c r="J48" i="20"/>
  <c r="G40" i="20"/>
  <c r="H40" i="20"/>
  <c r="J40" i="20"/>
  <c r="H32" i="20"/>
  <c r="J32" i="20"/>
  <c r="H23" i="20"/>
  <c r="J23" i="20"/>
  <c r="H15" i="20"/>
  <c r="J15" i="20"/>
  <c r="H7" i="20"/>
  <c r="J7" i="20"/>
  <c r="J270" i="20"/>
  <c r="I270" i="20"/>
  <c r="H270" i="20"/>
  <c r="G270" i="20"/>
  <c r="H190" i="20"/>
  <c r="J190" i="20"/>
  <c r="G190" i="20"/>
  <c r="H309" i="20"/>
  <c r="J309" i="20"/>
  <c r="H253" i="20"/>
  <c r="J253" i="20"/>
  <c r="I253" i="20"/>
  <c r="G253" i="20"/>
  <c r="G205" i="20"/>
  <c r="J205" i="20"/>
  <c r="H205" i="20"/>
  <c r="J181" i="20"/>
  <c r="H181" i="20"/>
  <c r="J157" i="20"/>
  <c r="H157" i="20"/>
  <c r="G125" i="20"/>
  <c r="J125" i="20"/>
  <c r="H125" i="20"/>
  <c r="J101" i="20"/>
  <c r="I101" i="20"/>
  <c r="H101" i="20"/>
  <c r="J77" i="20"/>
  <c r="H77" i="20"/>
  <c r="I53" i="20"/>
  <c r="H53" i="20"/>
  <c r="J53" i="20"/>
  <c r="H37" i="20"/>
  <c r="J37" i="20"/>
  <c r="H29" i="20"/>
  <c r="J29"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J225" i="20"/>
  <c r="H225" i="20"/>
  <c r="I225" i="20"/>
  <c r="G209" i="20"/>
  <c r="J209" i="20"/>
  <c r="H209" i="20"/>
  <c r="J185" i="20"/>
  <c r="H185" i="20"/>
  <c r="J169" i="20"/>
  <c r="H169" i="20"/>
  <c r="I169" i="20"/>
  <c r="J153" i="20"/>
  <c r="H153" i="20"/>
  <c r="G129" i="20"/>
  <c r="J129" i="20"/>
  <c r="H129" i="20"/>
  <c r="J89" i="20"/>
  <c r="H89" i="20"/>
  <c r="I89" i="20"/>
  <c r="H311" i="20"/>
  <c r="H303" i="20"/>
  <c r="J303"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G231" i="20"/>
  <c r="H231" i="20"/>
  <c r="J231" i="20"/>
  <c r="H223" i="20"/>
  <c r="J223" i="20"/>
  <c r="H215" i="20"/>
  <c r="J215" i="20"/>
  <c r="H207" i="20"/>
  <c r="J207" i="20"/>
  <c r="H199" i="20"/>
  <c r="I199" i="20"/>
  <c r="J199" i="20"/>
  <c r="H191" i="20"/>
  <c r="J191" i="20"/>
  <c r="H183" i="20"/>
  <c r="I183" i="20"/>
  <c r="J183" i="20"/>
  <c r="H175" i="20"/>
  <c r="J175" i="20"/>
  <c r="G167" i="20"/>
  <c r="H167" i="20"/>
  <c r="J167" i="20"/>
  <c r="H159" i="20"/>
  <c r="I159" i="20"/>
  <c r="J159" i="20"/>
  <c r="H151" i="20"/>
  <c r="I151" i="20"/>
  <c r="J151" i="20"/>
  <c r="H143" i="20"/>
  <c r="J143" i="20"/>
  <c r="H135" i="20"/>
  <c r="J135" i="20"/>
  <c r="H127" i="20"/>
  <c r="I127" i="20"/>
  <c r="J127" i="20"/>
  <c r="H119" i="20"/>
  <c r="J119" i="20"/>
  <c r="H111" i="20"/>
  <c r="I111" i="20"/>
  <c r="J111" i="20"/>
  <c r="H103" i="20"/>
  <c r="I103" i="20"/>
  <c r="J103" i="20"/>
  <c r="H95" i="20"/>
  <c r="J95" i="20"/>
  <c r="H87" i="20"/>
  <c r="I87" i="20"/>
  <c r="J87" i="20"/>
  <c r="H79" i="20"/>
  <c r="J79" i="20"/>
  <c r="I71" i="20"/>
  <c r="H71" i="20"/>
  <c r="J71" i="20"/>
  <c r="H63" i="20"/>
  <c r="J63" i="20"/>
  <c r="J55" i="20"/>
  <c r="H55" i="20"/>
  <c r="H47" i="20"/>
  <c r="J47" i="20"/>
  <c r="G47" i="20"/>
  <c r="G39" i="20"/>
  <c r="H39" i="20"/>
  <c r="J39" i="20"/>
  <c r="I31" i="20"/>
  <c r="H31" i="20"/>
  <c r="J31" i="20"/>
  <c r="H22" i="20"/>
  <c r="J22" i="20"/>
  <c r="H14" i="20"/>
  <c r="J14" i="20"/>
  <c r="H6" i="20"/>
  <c r="J6" i="20"/>
  <c r="C58" i="22"/>
  <c r="F5" i="20" s="1"/>
  <c r="C64" i="22"/>
  <c r="F11" i="20" s="1"/>
  <c r="G3" i="20"/>
  <c r="C62" i="22"/>
  <c r="F9" i="20" s="1"/>
  <c r="C60" i="22"/>
  <c r="F7" i="20" s="1"/>
  <c r="D134" i="25"/>
  <c r="D191" i="25"/>
  <c r="C22" i="14"/>
  <c r="E22" i="14" s="1"/>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139" i="25" s="1"/>
  <c r="G183" i="20"/>
  <c r="G75" i="20"/>
  <c r="I234" i="20"/>
  <c r="I240" i="25"/>
  <c r="C229" i="22"/>
  <c r="C198" i="22"/>
  <c r="I211" i="25"/>
  <c r="C138" i="22"/>
  <c r="C130" i="22"/>
  <c r="G92" i="20"/>
  <c r="C77" i="22"/>
  <c r="C133" i="25" s="1"/>
  <c r="C76" i="22"/>
  <c r="C132" i="25" s="1"/>
  <c r="C75" i="22"/>
  <c r="C131" i="25" s="1"/>
  <c r="C73" i="22"/>
  <c r="C72" i="22"/>
  <c r="C318" i="22"/>
  <c r="C336" i="22"/>
  <c r="C344" i="22"/>
  <c r="C329" i="22"/>
  <c r="C328" i="22"/>
  <c r="C314" i="22"/>
  <c r="C277" i="22"/>
  <c r="C238" i="25" s="1"/>
  <c r="C269" i="22"/>
  <c r="C230" i="25" s="1"/>
  <c r="I258" i="25"/>
  <c r="I224" i="25"/>
  <c r="C261" i="22"/>
  <c r="C222" i="25" s="1"/>
  <c r="C281" i="22"/>
  <c r="C242" i="25" s="1"/>
  <c r="I220" i="25"/>
  <c r="C300" i="22"/>
  <c r="C304" i="22"/>
  <c r="C273" i="22"/>
  <c r="C234" i="25" s="1"/>
  <c r="C265" i="22"/>
  <c r="C226" i="25" s="1"/>
  <c r="A286" i="22"/>
  <c r="C257" i="22"/>
  <c r="C218" i="25" s="1"/>
  <c r="C308" i="22"/>
  <c r="C285" i="22"/>
  <c r="C246" i="25" s="1"/>
  <c r="I35" i="20"/>
  <c r="I47" i="20"/>
  <c r="I43" i="20"/>
  <c r="I39" i="20"/>
  <c r="C241" i="22"/>
  <c r="C237" i="22"/>
  <c r="I147" i="20"/>
  <c r="C179" i="22"/>
  <c r="C183" i="22"/>
  <c r="C190" i="22"/>
  <c r="C177" i="22"/>
  <c r="C212" i="22"/>
  <c r="C223" i="22"/>
  <c r="C215" i="25" s="1"/>
  <c r="C196" i="22"/>
  <c r="C188" i="22"/>
  <c r="C191" i="25" s="1"/>
  <c r="C186" i="22"/>
  <c r="C190" i="25" s="1"/>
  <c r="C194" i="22"/>
  <c r="I136" i="20"/>
  <c r="C181" i="22"/>
  <c r="C175" i="22"/>
  <c r="G214" i="25"/>
  <c r="C200" i="22"/>
  <c r="G142" i="20"/>
  <c r="G67" i="20"/>
  <c r="C233" i="22"/>
  <c r="C144" i="25" s="1"/>
  <c r="I144" i="20"/>
  <c r="G163" i="25"/>
  <c r="G249" i="25"/>
  <c r="I236" i="25"/>
  <c r="I48" i="20"/>
  <c r="I44" i="20"/>
  <c r="I40" i="20"/>
  <c r="I143" i="25"/>
  <c r="I32" i="20"/>
  <c r="I66" i="20"/>
  <c r="C242" i="22"/>
  <c r="C238" i="22"/>
  <c r="C234" i="22"/>
  <c r="C230" i="22"/>
  <c r="G32" i="20"/>
  <c r="I70" i="20"/>
  <c r="C173" i="22"/>
  <c r="A299" i="22"/>
  <c r="G254" i="25"/>
  <c r="I228" i="25"/>
  <c r="I49" i="20"/>
  <c r="I45" i="20"/>
  <c r="I41" i="20"/>
  <c r="I37" i="20"/>
  <c r="I33" i="20"/>
  <c r="G49" i="20"/>
  <c r="C243" i="22"/>
  <c r="G45" i="20"/>
  <c r="C239" i="22"/>
  <c r="C235" i="22"/>
  <c r="G37" i="20"/>
  <c r="C231" i="22"/>
  <c r="C143" i="25" s="1"/>
  <c r="G33" i="20"/>
  <c r="C227" i="22"/>
  <c r="I46" i="20"/>
  <c r="I42" i="20"/>
  <c r="I144" i="25"/>
  <c r="I34" i="20"/>
  <c r="I190" i="25"/>
  <c r="I232" i="25"/>
  <c r="I308" i="20"/>
  <c r="C244" i="22"/>
  <c r="C240" i="22"/>
  <c r="C236" i="22"/>
  <c r="C232" i="22"/>
  <c r="C228" i="22"/>
  <c r="C132" i="22"/>
  <c r="I230" i="20"/>
  <c r="I244" i="25"/>
  <c r="G308" i="20"/>
  <c r="I235" i="20"/>
  <c r="I231" i="20"/>
  <c r="I250" i="25"/>
  <c r="I245" i="25"/>
  <c r="I241" i="25"/>
  <c r="I237" i="25"/>
  <c r="I233" i="25"/>
  <c r="I229" i="25"/>
  <c r="I225" i="25"/>
  <c r="I221" i="25"/>
  <c r="C339" i="22"/>
  <c r="C335" i="22"/>
  <c r="C324" i="22"/>
  <c r="C320" i="22"/>
  <c r="I179" i="25"/>
  <c r="I131" i="20"/>
  <c r="I208" i="25"/>
  <c r="I148" i="20"/>
  <c r="I145" i="20"/>
  <c r="G74" i="20"/>
  <c r="G70" i="20"/>
  <c r="G66" i="20"/>
  <c r="A256" i="22"/>
  <c r="C345" i="22"/>
  <c r="C341" i="22"/>
  <c r="C330" i="22"/>
  <c r="C326" i="22"/>
  <c r="C315" i="22"/>
  <c r="C321" i="22"/>
  <c r="C346" i="22"/>
  <c r="C342" i="22"/>
  <c r="C327" i="22"/>
  <c r="A319" i="22"/>
  <c r="H320" i="20" s="1"/>
  <c r="C316" i="22"/>
  <c r="I304" i="20"/>
  <c r="I138" i="20"/>
  <c r="G253" i="25"/>
  <c r="G157" i="25"/>
  <c r="A340" i="22"/>
  <c r="C337" i="22"/>
  <c r="C333" i="22"/>
  <c r="A325" i="22"/>
  <c r="C322" i="22"/>
  <c r="I309" i="20"/>
  <c r="I305" i="20"/>
  <c r="G304" i="20"/>
  <c r="C311" i="22"/>
  <c r="C332" i="22"/>
  <c r="G128" i="20"/>
  <c r="G176" i="25"/>
  <c r="G198" i="25"/>
  <c r="I150" i="20"/>
  <c r="G257" i="25"/>
  <c r="G153" i="25"/>
  <c r="C343" i="22"/>
  <c r="I323" i="20"/>
  <c r="G318" i="20"/>
  <c r="I314" i="20"/>
  <c r="I310" i="20"/>
  <c r="G309" i="20"/>
  <c r="C317" i="22"/>
  <c r="G305" i="20"/>
  <c r="I146" i="20"/>
  <c r="I219" i="25"/>
  <c r="G156" i="25"/>
  <c r="C248" i="22"/>
  <c r="C153" i="25" s="1"/>
  <c r="C338" i="22"/>
  <c r="C334" i="22"/>
  <c r="C323" i="22"/>
  <c r="C312" i="22"/>
  <c r="I187" i="25"/>
  <c r="G186" i="25"/>
  <c r="G116" i="20"/>
  <c r="I209" i="25"/>
  <c r="I158" i="20"/>
  <c r="I149" i="20"/>
  <c r="C252" i="22"/>
  <c r="C156" i="25" s="1"/>
  <c r="G88" i="20"/>
  <c r="G208" i="25"/>
  <c r="G158" i="20"/>
  <c r="G190" i="25"/>
  <c r="C309" i="22"/>
  <c r="C305" i="22"/>
  <c r="C301" i="22"/>
  <c r="C282" i="22"/>
  <c r="C243" i="25" s="1"/>
  <c r="C278" i="22"/>
  <c r="C239" i="25" s="1"/>
  <c r="C274" i="22"/>
  <c r="C235" i="25" s="1"/>
  <c r="C270" i="22"/>
  <c r="C231" i="25" s="1"/>
  <c r="C266" i="22"/>
  <c r="C227" i="25" s="1"/>
  <c r="C262" i="22"/>
  <c r="C223" i="25" s="1"/>
  <c r="C258" i="22"/>
  <c r="C219" i="25" s="1"/>
  <c r="I158" i="25"/>
  <c r="I154" i="25"/>
  <c r="I151" i="25"/>
  <c r="C296" i="22"/>
  <c r="C257" i="25" s="1"/>
  <c r="C292" i="22"/>
  <c r="C253" i="25" s="1"/>
  <c r="C288" i="22"/>
  <c r="C249" i="25" s="1"/>
  <c r="G158" i="25"/>
  <c r="C253" i="22"/>
  <c r="C157" i="25" s="1"/>
  <c r="G154" i="25"/>
  <c r="C249" i="22"/>
  <c r="G151" i="25"/>
  <c r="C295" i="22"/>
  <c r="C256" i="25" s="1"/>
  <c r="C291" i="22"/>
  <c r="C252" i="25" s="1"/>
  <c r="C287" i="22"/>
  <c r="C248" i="25" s="1"/>
  <c r="G101" i="20"/>
  <c r="A185" i="22"/>
  <c r="C306" i="22"/>
  <c r="C302" i="22"/>
  <c r="I259" i="25"/>
  <c r="I255" i="25"/>
  <c r="I251" i="25"/>
  <c r="C283" i="22"/>
  <c r="C244" i="25" s="1"/>
  <c r="C279" i="22"/>
  <c r="C240" i="25" s="1"/>
  <c r="C275" i="22"/>
  <c r="C236" i="25" s="1"/>
  <c r="C271" i="22"/>
  <c r="C232" i="25" s="1"/>
  <c r="C267" i="22"/>
  <c r="C228" i="25" s="1"/>
  <c r="C263" i="22"/>
  <c r="C224" i="25" s="1"/>
  <c r="C259" i="22"/>
  <c r="C220" i="25" s="1"/>
  <c r="I159" i="25"/>
  <c r="I155" i="25"/>
  <c r="I152" i="25"/>
  <c r="I109" i="20"/>
  <c r="G193" i="25"/>
  <c r="I143" i="20"/>
  <c r="I140" i="20"/>
  <c r="I191" i="25"/>
  <c r="I236" i="20"/>
  <c r="I232" i="20"/>
  <c r="I228" i="20"/>
  <c r="G259" i="25"/>
  <c r="C297" i="22"/>
  <c r="C258" i="25" s="1"/>
  <c r="G255" i="25"/>
  <c r="C293" i="22"/>
  <c r="C254" i="25" s="1"/>
  <c r="G251" i="25"/>
  <c r="C289" i="22"/>
  <c r="C250" i="25" s="1"/>
  <c r="I246" i="25"/>
  <c r="I242" i="25"/>
  <c r="I238" i="25"/>
  <c r="I234" i="25"/>
  <c r="I230" i="25"/>
  <c r="I226" i="25"/>
  <c r="I222" i="25"/>
  <c r="I218" i="25"/>
  <c r="G159" i="25"/>
  <c r="C254" i="22"/>
  <c r="C158" i="25" s="1"/>
  <c r="G155" i="25"/>
  <c r="C250" i="22"/>
  <c r="C154" i="25" s="1"/>
  <c r="G152" i="25"/>
  <c r="C246" i="22"/>
  <c r="C151" i="25" s="1"/>
  <c r="I214" i="25"/>
  <c r="G197" i="25"/>
  <c r="G143" i="20"/>
  <c r="G236" i="20"/>
  <c r="C307" i="22"/>
  <c r="G232" i="20"/>
  <c r="C303" i="22"/>
  <c r="G228" i="20"/>
  <c r="I256" i="25"/>
  <c r="I252" i="25"/>
  <c r="I248" i="25"/>
  <c r="G246" i="25"/>
  <c r="C284" i="22"/>
  <c r="C245" i="25" s="1"/>
  <c r="G242" i="25"/>
  <c r="C280" i="22"/>
  <c r="C241" i="25" s="1"/>
  <c r="G238" i="25"/>
  <c r="C276" i="22"/>
  <c r="C237" i="25" s="1"/>
  <c r="G234" i="25"/>
  <c r="C272" i="22"/>
  <c r="C233" i="25" s="1"/>
  <c r="G230" i="25"/>
  <c r="C268" i="22"/>
  <c r="C229" i="25" s="1"/>
  <c r="G226" i="25"/>
  <c r="C264" i="22"/>
  <c r="C225" i="25" s="1"/>
  <c r="G222" i="25"/>
  <c r="C260" i="22"/>
  <c r="C221" i="25" s="1"/>
  <c r="G218" i="25"/>
  <c r="I156" i="25"/>
  <c r="I153" i="25"/>
  <c r="I216" i="25"/>
  <c r="I139" i="20"/>
  <c r="I237" i="20"/>
  <c r="I233" i="20"/>
  <c r="I229" i="20"/>
  <c r="C298" i="22"/>
  <c r="C259" i="25" s="1"/>
  <c r="G256" i="25"/>
  <c r="C294" i="22"/>
  <c r="C255" i="25" s="1"/>
  <c r="G252" i="25"/>
  <c r="C290" i="22"/>
  <c r="C251" i="25" s="1"/>
  <c r="G248" i="25"/>
  <c r="I243" i="25"/>
  <c r="I239" i="25"/>
  <c r="I235" i="25"/>
  <c r="I231" i="25"/>
  <c r="I227" i="25"/>
  <c r="I223" i="25"/>
  <c r="C255" i="22"/>
  <c r="C159" i="25" s="1"/>
  <c r="C251" i="22"/>
  <c r="C155" i="25" s="1"/>
  <c r="C247" i="22"/>
  <c r="C152" i="25" s="1"/>
  <c r="G167" i="25"/>
  <c r="G216" i="25"/>
  <c r="I196" i="25"/>
  <c r="G139" i="20"/>
  <c r="C206" i="22"/>
  <c r="C196" i="25" s="1"/>
  <c r="I215" i="25"/>
  <c r="A219" i="22"/>
  <c r="G210" i="25"/>
  <c r="C216" i="22"/>
  <c r="C209" i="25" s="1"/>
  <c r="I160" i="20"/>
  <c r="I156" i="20"/>
  <c r="I194" i="25"/>
  <c r="G149" i="20"/>
  <c r="C199" i="22"/>
  <c r="G145" i="20"/>
  <c r="C195" i="22"/>
  <c r="G141" i="20"/>
  <c r="C191" i="22"/>
  <c r="G191" i="25"/>
  <c r="C187" i="22"/>
  <c r="I76" i="20"/>
  <c r="I72" i="20"/>
  <c r="I68" i="20"/>
  <c r="I161" i="25"/>
  <c r="G215" i="25"/>
  <c r="C222" i="22"/>
  <c r="G160" i="20"/>
  <c r="C211" i="22"/>
  <c r="C198" i="25" s="1"/>
  <c r="C207" i="22"/>
  <c r="C197" i="25" s="1"/>
  <c r="G194" i="25"/>
  <c r="C203" i="22"/>
  <c r="C193" i="25" s="1"/>
  <c r="G76" i="20"/>
  <c r="C182" i="22"/>
  <c r="G72" i="20"/>
  <c r="C178" i="22"/>
  <c r="C163" i="25" s="1"/>
  <c r="G68" i="20"/>
  <c r="C174" i="22"/>
  <c r="G161" i="25"/>
  <c r="C225" i="22"/>
  <c r="C216" i="25" s="1"/>
  <c r="C221" i="22"/>
  <c r="C214" i="25" s="1"/>
  <c r="C210" i="22"/>
  <c r="I84" i="20"/>
  <c r="I185" i="20"/>
  <c r="I213" i="25"/>
  <c r="C217" i="22"/>
  <c r="C210" i="25" s="1"/>
  <c r="I157" i="20"/>
  <c r="I195" i="25"/>
  <c r="C192" i="22"/>
  <c r="I77" i="20"/>
  <c r="I73" i="20"/>
  <c r="I69" i="20"/>
  <c r="I162" i="25"/>
  <c r="G185" i="20"/>
  <c r="G213" i="25"/>
  <c r="G161" i="20"/>
  <c r="G157" i="20"/>
  <c r="C208" i="22"/>
  <c r="G195" i="25"/>
  <c r="C204" i="22"/>
  <c r="C194" i="25" s="1"/>
  <c r="G77" i="20"/>
  <c r="G73" i="20"/>
  <c r="G69" i="20"/>
  <c r="G162" i="25"/>
  <c r="C171" i="22"/>
  <c r="C161" i="25" s="1"/>
  <c r="C218" i="22"/>
  <c r="C211" i="25" s="1"/>
  <c r="A202" i="22"/>
  <c r="C201" i="22"/>
  <c r="C197" i="22"/>
  <c r="C193" i="22"/>
  <c r="C189" i="22"/>
  <c r="G110" i="20"/>
  <c r="I184" i="25"/>
  <c r="C224" i="22"/>
  <c r="C220" i="22"/>
  <c r="C213" i="25" s="1"/>
  <c r="C213" i="22"/>
  <c r="C209" i="22"/>
  <c r="C205" i="22"/>
  <c r="C195" i="25" s="1"/>
  <c r="C184" i="22"/>
  <c r="C180" i="22"/>
  <c r="C176" i="22"/>
  <c r="C172" i="22"/>
  <c r="C162" i="25" s="1"/>
  <c r="C215" i="22"/>
  <c r="C208" i="25" s="1"/>
  <c r="C148" i="22"/>
  <c r="C142" i="22"/>
  <c r="C158" i="22"/>
  <c r="C182" i="25" s="1"/>
  <c r="I112" i="20"/>
  <c r="I80" i="20"/>
  <c r="C168" i="22"/>
  <c r="C187" i="25" s="1"/>
  <c r="C164" i="22"/>
  <c r="I180" i="25"/>
  <c r="C150" i="22"/>
  <c r="C175" i="25" s="1"/>
  <c r="C160" i="22"/>
  <c r="C184" i="25" s="1"/>
  <c r="I174" i="25"/>
  <c r="A146" i="22"/>
  <c r="G93" i="20"/>
  <c r="C154" i="22"/>
  <c r="C178" i="25" s="1"/>
  <c r="I183" i="25"/>
  <c r="C156" i="22"/>
  <c r="C180" i="25" s="1"/>
  <c r="C162" i="22"/>
  <c r="C134" i="22"/>
  <c r="G183" i="25"/>
  <c r="C152" i="22"/>
  <c r="C176" i="25" s="1"/>
  <c r="I113" i="20"/>
  <c r="G85" i="20"/>
  <c r="I165" i="25"/>
  <c r="C166" i="22"/>
  <c r="G113" i="20"/>
  <c r="I88" i="20"/>
  <c r="G81" i="20"/>
  <c r="C167" i="22"/>
  <c r="C163" i="22"/>
  <c r="C186" i="25" s="1"/>
  <c r="C159" i="22"/>
  <c r="C183" i="25" s="1"/>
  <c r="C155" i="22"/>
  <c r="C179" i="25" s="1"/>
  <c r="C151" i="22"/>
  <c r="C147" i="22"/>
  <c r="C74" i="22"/>
  <c r="G140" i="25"/>
  <c r="I148" i="25"/>
  <c r="I188" i="25"/>
  <c r="I129" i="20"/>
  <c r="I185" i="25"/>
  <c r="I181" i="25"/>
  <c r="I177" i="25"/>
  <c r="G169" i="25"/>
  <c r="C143" i="22"/>
  <c r="G168" i="25"/>
  <c r="C139" i="22"/>
  <c r="C167" i="25" s="1"/>
  <c r="G86" i="20"/>
  <c r="C135" i="22"/>
  <c r="G82" i="20"/>
  <c r="C131" i="22"/>
  <c r="G165" i="25"/>
  <c r="G105" i="20"/>
  <c r="I95" i="20"/>
  <c r="I91" i="20"/>
  <c r="I83" i="20"/>
  <c r="I166" i="25"/>
  <c r="I178" i="25"/>
  <c r="G87" i="20"/>
  <c r="C128" i="22"/>
  <c r="C165" i="25" s="1"/>
  <c r="I132" i="25"/>
  <c r="G137" i="25"/>
  <c r="C169" i="22"/>
  <c r="C188" i="25" s="1"/>
  <c r="G130" i="20"/>
  <c r="C165" i="22"/>
  <c r="G126" i="20"/>
  <c r="C161" i="22"/>
  <c r="C185" i="25" s="1"/>
  <c r="G182" i="25"/>
  <c r="C157" i="22"/>
  <c r="C181" i="25" s="1"/>
  <c r="G178" i="25"/>
  <c r="C153" i="22"/>
  <c r="C177" i="25" s="1"/>
  <c r="G175" i="25"/>
  <c r="C149" i="22"/>
  <c r="C174" i="25" s="1"/>
  <c r="I175" i="25"/>
  <c r="C140" i="22"/>
  <c r="C168" i="25" s="1"/>
  <c r="G166" i="25"/>
  <c r="C145" i="22"/>
  <c r="C141" i="22"/>
  <c r="C137" i="22"/>
  <c r="C133" i="22"/>
  <c r="C129" i="22"/>
  <c r="C166" i="25" s="1"/>
  <c r="I126" i="20"/>
  <c r="I182" i="25"/>
  <c r="G95" i="20"/>
  <c r="C144" i="22"/>
  <c r="C169" i="25" s="1"/>
  <c r="G91" i="20"/>
  <c r="C136" i="22"/>
  <c r="G83" i="20"/>
  <c r="I131" i="25"/>
  <c r="G147" i="25"/>
  <c r="G172" i="25"/>
  <c r="G203" i="25"/>
  <c r="C103" i="22"/>
  <c r="G141" i="25"/>
  <c r="G98" i="20"/>
  <c r="G102" i="20"/>
  <c r="G106" i="20"/>
  <c r="C107" i="22"/>
  <c r="C81" i="22"/>
  <c r="C136" i="25" s="1"/>
  <c r="G26" i="20"/>
  <c r="G168" i="20"/>
  <c r="C99" i="22"/>
  <c r="C83" i="22"/>
  <c r="C137" i="25" s="1"/>
  <c r="C91" i="22"/>
  <c r="C148" i="25" s="1"/>
  <c r="G200" i="25"/>
  <c r="G205" i="25"/>
  <c r="C95" i="22"/>
  <c r="C171" i="25" s="1"/>
  <c r="C87" i="22"/>
  <c r="C141" i="25" s="1"/>
  <c r="C97" i="22"/>
  <c r="C101" i="22"/>
  <c r="C89" i="22"/>
  <c r="C146" i="25" s="1"/>
  <c r="G131" i="25"/>
  <c r="G136" i="25"/>
  <c r="C84" i="22"/>
  <c r="C138" i="25" s="1"/>
  <c r="G139" i="25"/>
  <c r="G171" i="25"/>
  <c r="C98" i="22"/>
  <c r="G100" i="20"/>
  <c r="C102" i="22"/>
  <c r="G104" i="20"/>
  <c r="C106" i="22"/>
  <c r="G108" i="20"/>
  <c r="C110" i="22"/>
  <c r="I163" i="20"/>
  <c r="I167" i="20"/>
  <c r="I202" i="25"/>
  <c r="I205" i="25"/>
  <c r="C93" i="22"/>
  <c r="I136" i="25"/>
  <c r="I139" i="25"/>
  <c r="G146" i="25"/>
  <c r="C92" i="22"/>
  <c r="C149" i="25" s="1"/>
  <c r="G54" i="20"/>
  <c r="I171" i="25"/>
  <c r="I100" i="20"/>
  <c r="I104" i="20"/>
  <c r="I108" i="20"/>
  <c r="G162" i="20"/>
  <c r="C115" i="22"/>
  <c r="C201" i="25" s="1"/>
  <c r="G166" i="20"/>
  <c r="C119" i="22"/>
  <c r="G170" i="20"/>
  <c r="C123" i="22"/>
  <c r="C204" i="25" s="1"/>
  <c r="G174" i="20"/>
  <c r="C116" i="22"/>
  <c r="C124" i="22"/>
  <c r="G138" i="25"/>
  <c r="I146" i="25"/>
  <c r="I54" i="20"/>
  <c r="G99" i="20"/>
  <c r="G103" i="20"/>
  <c r="C105" i="22"/>
  <c r="G107" i="20"/>
  <c r="C109" i="22"/>
  <c r="G111" i="20"/>
  <c r="I162" i="20"/>
  <c r="I166" i="20"/>
  <c r="I170" i="20"/>
  <c r="I174" i="20"/>
  <c r="C112" i="22"/>
  <c r="C120" i="22"/>
  <c r="A80" i="22"/>
  <c r="G149" i="25"/>
  <c r="A94" i="22"/>
  <c r="C114" i="22"/>
  <c r="C200" i="25" s="1"/>
  <c r="G201" i="25"/>
  <c r="C118" i="22"/>
  <c r="G169" i="20"/>
  <c r="C122" i="22"/>
  <c r="C203" i="25" s="1"/>
  <c r="G204" i="25"/>
  <c r="C126" i="22"/>
  <c r="C206" i="25" s="1"/>
  <c r="C82" i="22"/>
  <c r="C86" i="22"/>
  <c r="C140" i="25" s="1"/>
  <c r="A88" i="22"/>
  <c r="C96" i="22"/>
  <c r="C172" i="25" s="1"/>
  <c r="C100" i="22"/>
  <c r="C104" i="22"/>
  <c r="C108" i="22"/>
  <c r="A111" i="22"/>
  <c r="C90" i="22"/>
  <c r="C147" i="25" s="1"/>
  <c r="C113" i="22"/>
  <c r="C117" i="22"/>
  <c r="C121" i="22"/>
  <c r="C202" i="25" s="1"/>
  <c r="C125" i="22"/>
  <c r="C205" i="25" s="1"/>
  <c r="G206" i="25"/>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G327" i="20" l="1"/>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K237" i="20"/>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35"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D120" i="25" s="1"/>
  <c r="E94" i="14"/>
  <c r="D117" i="25" s="1"/>
  <c r="E92" i="14"/>
  <c r="D115" i="25" s="1"/>
  <c r="E91" i="14"/>
  <c r="D114" i="25" s="1"/>
  <c r="H34" i="21"/>
  <c r="E96" i="14"/>
  <c r="D119" i="25" s="1"/>
  <c r="E93" i="14"/>
  <c r="D116" i="25" s="1"/>
  <c r="E95" i="14"/>
  <c r="D118" i="25" s="1"/>
  <c r="E90" i="14"/>
  <c r="D113" i="25" s="1"/>
  <c r="B25" i="14"/>
  <c r="E25" i="14"/>
  <c r="D48" i="25" s="1"/>
  <c r="B26" i="14"/>
  <c r="E26" i="14"/>
  <c r="D49" i="25" s="1"/>
  <c r="B27" i="14"/>
  <c r="E27" i="14"/>
  <c r="D50" i="25" s="1"/>
  <c r="B28" i="14"/>
  <c r="E28" i="14"/>
  <c r="D51" i="25" s="1"/>
  <c r="B30" i="14"/>
  <c r="E30" i="14"/>
  <c r="D53" i="25" s="1"/>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D111" i="25" s="1"/>
  <c r="B88" i="14"/>
  <c r="B87" i="14"/>
  <c r="B86" i="14"/>
  <c r="B85" i="14"/>
  <c r="B84" i="14"/>
  <c r="B83" i="14"/>
  <c r="B82" i="14"/>
  <c r="B81" i="14"/>
  <c r="B80" i="14"/>
  <c r="B79" i="14"/>
  <c r="B78" i="14"/>
  <c r="B77" i="14"/>
  <c r="B76" i="14"/>
  <c r="E75" i="14"/>
  <c r="D98" i="25" s="1"/>
  <c r="B75" i="14"/>
  <c r="E74" i="14"/>
  <c r="D97" i="25" s="1"/>
  <c r="B74" i="14"/>
  <c r="B72" i="14"/>
  <c r="E71" i="14"/>
  <c r="D94" i="25" s="1"/>
  <c r="B71" i="14"/>
  <c r="E70" i="14"/>
  <c r="D93" i="25" s="1"/>
  <c r="B70" i="14"/>
  <c r="E69" i="14"/>
  <c r="D92" i="25" s="1"/>
  <c r="B69" i="14"/>
  <c r="E68" i="14"/>
  <c r="D91" i="25" s="1"/>
  <c r="B68" i="14"/>
  <c r="E66" i="14"/>
  <c r="D89" i="25" s="1"/>
  <c r="B66" i="14"/>
  <c r="E65" i="14"/>
  <c r="D88" i="25" s="1"/>
  <c r="B65" i="14"/>
  <c r="E64" i="14"/>
  <c r="D87" i="25" s="1"/>
  <c r="B64" i="14"/>
  <c r="E63" i="14"/>
  <c r="D86" i="25" s="1"/>
  <c r="B63" i="14"/>
  <c r="E62" i="14"/>
  <c r="D85" i="25" s="1"/>
  <c r="B62" i="14"/>
  <c r="B61" i="14"/>
  <c r="E60" i="14"/>
  <c r="D83" i="25" s="1"/>
  <c r="B60" i="14"/>
  <c r="E59" i="14"/>
  <c r="D82" i="25" s="1"/>
  <c r="B59" i="14"/>
  <c r="E58" i="14"/>
  <c r="D81" i="25" s="1"/>
  <c r="B58" i="14"/>
  <c r="E57" i="14"/>
  <c r="D80" i="25" s="1"/>
  <c r="B57" i="14"/>
  <c r="E56" i="14"/>
  <c r="D79" i="25" s="1"/>
  <c r="B56" i="14"/>
  <c r="E55" i="14"/>
  <c r="D78" i="25" s="1"/>
  <c r="B55" i="14"/>
  <c r="E54" i="14"/>
  <c r="D77" i="25" s="1"/>
  <c r="B54" i="14"/>
  <c r="E51" i="14"/>
  <c r="D74" i="25" s="1"/>
  <c r="B51" i="14"/>
  <c r="E50" i="14"/>
  <c r="D73" i="25" s="1"/>
  <c r="B50" i="14"/>
  <c r="E49" i="14"/>
  <c r="D72" i="25" s="1"/>
  <c r="B49" i="14"/>
  <c r="E48" i="14"/>
  <c r="D71" i="25" s="1"/>
  <c r="B48" i="14"/>
  <c r="E47" i="14"/>
  <c r="D70" i="25" s="1"/>
  <c r="B47" i="14"/>
  <c r="E46" i="14"/>
  <c r="D69" i="25" s="1"/>
  <c r="B46" i="14"/>
  <c r="E45" i="14"/>
  <c r="D68" i="25" s="1"/>
  <c r="B45" i="14"/>
  <c r="E43" i="14"/>
  <c r="D66" i="25" s="1"/>
  <c r="B43" i="14"/>
  <c r="E42" i="14"/>
  <c r="D65" i="25" s="1"/>
  <c r="B42" i="14"/>
  <c r="E40" i="14"/>
  <c r="D63" i="25" s="1"/>
  <c r="B40" i="14"/>
  <c r="E39" i="14"/>
  <c r="D62" i="25" s="1"/>
  <c r="B39" i="14"/>
  <c r="E37" i="14"/>
  <c r="D60" i="25" s="1"/>
  <c r="B37" i="14"/>
  <c r="E36" i="14"/>
  <c r="D59" i="25" s="1"/>
  <c r="B36" i="14"/>
  <c r="B35" i="14"/>
  <c r="E33" i="14"/>
  <c r="D56" i="25" s="1"/>
  <c r="B33" i="14"/>
  <c r="E32" i="14"/>
  <c r="D55" i="25" s="1"/>
  <c r="B32" i="14"/>
  <c r="E31" i="14"/>
  <c r="D54" i="25" s="1"/>
  <c r="B31" i="14"/>
  <c r="E24" i="14"/>
  <c r="D47" i="25" s="1"/>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D323" i="22"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D304" i="22" s="1"/>
  <c r="B21" i="12"/>
  <c r="D20" i="12"/>
  <c r="B20" i="12"/>
  <c r="D19" i="12"/>
  <c r="C19" i="12"/>
  <c r="B19" i="12"/>
  <c r="D18" i="12"/>
  <c r="C18" i="12"/>
  <c r="B18" i="12"/>
  <c r="D18" i="9"/>
  <c r="C18" i="9"/>
  <c r="E36" i="9" s="1"/>
  <c r="B18" i="9"/>
  <c r="C18" i="10"/>
  <c r="E59" i="10" s="1"/>
  <c r="D210" i="22"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90" i="25"/>
  <c r="E57" i="8"/>
  <c r="D116" i="22" s="1"/>
  <c r="E58" i="8"/>
  <c r="D117" i="22" s="1"/>
  <c r="E59" i="8"/>
  <c r="D118" i="22" s="1"/>
  <c r="E60" i="8"/>
  <c r="D119" i="22" s="1"/>
  <c r="E61" i="8"/>
  <c r="D120" i="22" s="1"/>
  <c r="E62" i="8"/>
  <c r="D121" i="22" s="1"/>
  <c r="E63" i="8"/>
  <c r="D122" i="22" s="1"/>
  <c r="E64" i="8"/>
  <c r="D123" i="22" s="1"/>
  <c r="E65" i="8"/>
  <c r="D124" i="22" s="1"/>
  <c r="E66" i="8"/>
  <c r="D125" i="22" s="1"/>
  <c r="E23" i="8"/>
  <c r="D82" i="22" s="1"/>
  <c r="E24" i="8"/>
  <c r="D83" i="22" s="1"/>
  <c r="E25" i="8"/>
  <c r="D84" i="22" s="1"/>
  <c r="E26" i="8"/>
  <c r="D85" i="22" s="1"/>
  <c r="E27" i="8"/>
  <c r="D86" i="22" s="1"/>
  <c r="E28" i="8"/>
  <c r="D87" i="22" s="1"/>
  <c r="E30" i="8"/>
  <c r="D89" i="22" s="1"/>
  <c r="E31" i="8"/>
  <c r="D90" i="22" s="1"/>
  <c r="E32" i="8"/>
  <c r="D91" i="22" s="1"/>
  <c r="E33" i="8"/>
  <c r="D92" i="22" s="1"/>
  <c r="E34" i="8"/>
  <c r="D93" i="22" s="1"/>
  <c r="E36" i="8"/>
  <c r="D95" i="22" s="1"/>
  <c r="E39" i="8"/>
  <c r="D98" i="22" s="1"/>
  <c r="E40" i="8"/>
  <c r="D99" i="22" s="1"/>
  <c r="E41" i="8"/>
  <c r="D100" i="22" s="1"/>
  <c r="E42" i="8"/>
  <c r="D101" i="22" s="1"/>
  <c r="E43" i="8"/>
  <c r="D102" i="22" s="1"/>
  <c r="E44" i="8"/>
  <c r="D103" i="22" s="1"/>
  <c r="E45" i="8"/>
  <c r="D104" i="22" s="1"/>
  <c r="E46" i="8"/>
  <c r="D105" i="22" s="1"/>
  <c r="E47" i="8"/>
  <c r="D106" i="22" s="1"/>
  <c r="E48" i="8"/>
  <c r="D107" i="22" s="1"/>
  <c r="E49" i="8"/>
  <c r="D108" i="22" s="1"/>
  <c r="E50" i="8"/>
  <c r="D109" i="22" s="1"/>
  <c r="E51" i="8"/>
  <c r="D110" i="22" s="1"/>
  <c r="E53" i="8"/>
  <c r="D112" i="22" s="1"/>
  <c r="E54" i="8"/>
  <c r="D113" i="22" s="1"/>
  <c r="E55" i="8"/>
  <c r="D114" i="22" s="1"/>
  <c r="E56" i="8"/>
  <c r="D115" i="22" s="1"/>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E24" i="4"/>
  <c r="D67" i="22" s="1"/>
  <c r="E25" i="4"/>
  <c r="D68" i="22" s="1"/>
  <c r="E26" i="4"/>
  <c r="D69" i="22" s="1"/>
  <c r="E27" i="4"/>
  <c r="D70" i="22" s="1"/>
  <c r="E29" i="4"/>
  <c r="D72" i="22" s="1"/>
  <c r="E30" i="4"/>
  <c r="D73" i="22" s="1"/>
  <c r="E31" i="4"/>
  <c r="D74" i="22" s="1"/>
  <c r="E32" i="4"/>
  <c r="D75" i="22" s="1"/>
  <c r="E33" i="4"/>
  <c r="D76" i="22" s="1"/>
  <c r="E34" i="4"/>
  <c r="D77" i="22" s="1"/>
  <c r="E23" i="4"/>
  <c r="D66" i="22" s="1"/>
  <c r="E144" i="22" l="1"/>
  <c r="E169" i="25" s="1"/>
  <c r="D144" i="22"/>
  <c r="E32" i="10"/>
  <c r="D183" i="22" s="1"/>
  <c r="E55" i="10"/>
  <c r="D206" i="22" s="1"/>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E35" i="13"/>
  <c r="D326" i="22"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O147" i="20" s="1"/>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D342" i="22" s="1"/>
  <c r="E43" i="13"/>
  <c r="D334" i="22" s="1"/>
  <c r="E52" i="13"/>
  <c r="D343" i="22" s="1"/>
  <c r="E44" i="13"/>
  <c r="D335" i="22" s="1"/>
  <c r="E53" i="13"/>
  <c r="D344" i="22" s="1"/>
  <c r="E45" i="13"/>
  <c r="D336" i="22" s="1"/>
  <c r="E54" i="13"/>
  <c r="D345" i="22" s="1"/>
  <c r="E46" i="13"/>
  <c r="D337" i="22" s="1"/>
  <c r="E55" i="13"/>
  <c r="D346" i="22" s="1"/>
  <c r="E47" i="13"/>
  <c r="D338" i="22" s="1"/>
  <c r="E42" i="13"/>
  <c r="D333" i="22" s="1"/>
  <c r="E48" i="13"/>
  <c r="D339" i="22" s="1"/>
  <c r="E50" i="13"/>
  <c r="D341" i="22" s="1"/>
  <c r="E18" i="13"/>
  <c r="E41" i="13"/>
  <c r="D332" i="22" s="1"/>
  <c r="E25" i="13"/>
  <c r="D316" i="22" s="1"/>
  <c r="E21" i="13"/>
  <c r="D312" i="22" s="1"/>
  <c r="E33" i="13"/>
  <c r="D324" i="22" s="1"/>
  <c r="E26" i="13"/>
  <c r="D317" i="22" s="1"/>
  <c r="E20" i="13"/>
  <c r="D311" i="22" s="1"/>
  <c r="E36" i="13"/>
  <c r="D327" i="22" s="1"/>
  <c r="E27" i="13"/>
  <c r="D318" i="22" s="1"/>
  <c r="E37" i="13"/>
  <c r="D328" i="22" s="1"/>
  <c r="E29" i="13"/>
  <c r="D320" i="22" s="1"/>
  <c r="E38" i="13"/>
  <c r="D329" i="22" s="1"/>
  <c r="E30" i="13"/>
  <c r="D321" i="22" s="1"/>
  <c r="E39" i="13"/>
  <c r="D330" i="22" s="1"/>
  <c r="E31" i="13"/>
  <c r="D322" i="22" s="1"/>
  <c r="E23" i="13"/>
  <c r="D314" i="22" s="1"/>
  <c r="E24" i="13"/>
  <c r="D315" i="22" s="1"/>
  <c r="N233" i="20"/>
  <c r="N232" i="20"/>
  <c r="E21" i="12"/>
  <c r="E77" i="12"/>
  <c r="D301" i="22" s="1"/>
  <c r="E85" i="12"/>
  <c r="D309" i="22" s="1"/>
  <c r="E78" i="12"/>
  <c r="D302" i="22" s="1"/>
  <c r="E76" i="12"/>
  <c r="D300" i="22" s="1"/>
  <c r="E84" i="12"/>
  <c r="D308" i="22" s="1"/>
  <c r="E79" i="12"/>
  <c r="D303" i="22" s="1"/>
  <c r="E82" i="12"/>
  <c r="D306" i="22" s="1"/>
  <c r="E83" i="12"/>
  <c r="D307" i="22" s="1"/>
  <c r="E81" i="12"/>
  <c r="D305" i="22" s="1"/>
  <c r="E20" i="12"/>
  <c r="E66" i="12"/>
  <c r="D290" i="22" s="1"/>
  <c r="E74" i="12"/>
  <c r="D298" i="22" s="1"/>
  <c r="E71" i="12"/>
  <c r="D295" i="22" s="1"/>
  <c r="E67" i="12"/>
  <c r="D291" i="22" s="1"/>
  <c r="E63" i="12"/>
  <c r="D287" i="22" s="1"/>
  <c r="E72" i="12"/>
  <c r="D296" i="22" s="1"/>
  <c r="E65" i="12"/>
  <c r="D289" i="22" s="1"/>
  <c r="E68" i="12"/>
  <c r="D292" i="22" s="1"/>
  <c r="E69" i="12"/>
  <c r="D293" i="22" s="1"/>
  <c r="E64" i="12"/>
  <c r="D288" i="22" s="1"/>
  <c r="E73" i="12"/>
  <c r="D297" i="22" s="1"/>
  <c r="E70" i="12"/>
  <c r="D294" i="22" s="1"/>
  <c r="E40" i="12"/>
  <c r="D264" i="22" s="1"/>
  <c r="E48" i="12"/>
  <c r="D272" i="22" s="1"/>
  <c r="E56" i="12"/>
  <c r="D280" i="22" s="1"/>
  <c r="E43" i="12"/>
  <c r="D267" i="22" s="1"/>
  <c r="E36" i="12"/>
  <c r="D260" i="22" s="1"/>
  <c r="E52" i="12"/>
  <c r="D276" i="22" s="1"/>
  <c r="E53" i="12"/>
  <c r="D277" i="22" s="1"/>
  <c r="E41" i="12"/>
  <c r="D265" i="22" s="1"/>
  <c r="E49" i="12"/>
  <c r="D273" i="22" s="1"/>
  <c r="E57" i="12"/>
  <c r="D281" i="22" s="1"/>
  <c r="E35" i="12"/>
  <c r="D259" i="22" s="1"/>
  <c r="E51" i="12"/>
  <c r="D275" i="22" s="1"/>
  <c r="E44" i="12"/>
  <c r="D268" i="22" s="1"/>
  <c r="E37" i="12"/>
  <c r="D261" i="22" s="1"/>
  <c r="E61" i="12"/>
  <c r="D285" i="22" s="1"/>
  <c r="E46" i="12"/>
  <c r="D270" i="22" s="1"/>
  <c r="E39" i="12"/>
  <c r="D263" i="22" s="1"/>
  <c r="E55" i="12"/>
  <c r="D279" i="22" s="1"/>
  <c r="E34" i="12"/>
  <c r="D258" i="22" s="1"/>
  <c r="E42" i="12"/>
  <c r="D266" i="22" s="1"/>
  <c r="E50" i="12"/>
  <c r="D274" i="22" s="1"/>
  <c r="E58" i="12"/>
  <c r="D282" i="22" s="1"/>
  <c r="E59" i="12"/>
  <c r="D283" i="22" s="1"/>
  <c r="E60" i="12"/>
  <c r="D284" i="22" s="1"/>
  <c r="E45" i="12"/>
  <c r="D269" i="22" s="1"/>
  <c r="E38" i="12"/>
  <c r="D262" i="22" s="1"/>
  <c r="E54" i="12"/>
  <c r="D278" i="22" s="1"/>
  <c r="E47" i="12"/>
  <c r="D271" i="22" s="1"/>
  <c r="E64" i="10"/>
  <c r="D215" i="22" s="1"/>
  <c r="E73" i="10"/>
  <c r="D224" i="22" s="1"/>
  <c r="E65" i="10"/>
  <c r="D216" i="22" s="1"/>
  <c r="E74" i="10"/>
  <c r="D225" i="22" s="1"/>
  <c r="E60" i="10"/>
  <c r="D211" i="22" s="1"/>
  <c r="E70" i="10"/>
  <c r="D221" i="22" s="1"/>
  <c r="E71" i="10"/>
  <c r="D222" i="22" s="1"/>
  <c r="E72" i="10"/>
  <c r="D223" i="22" s="1"/>
  <c r="E66" i="10"/>
  <c r="D217" i="22" s="1"/>
  <c r="E53" i="10"/>
  <c r="D204" i="22" s="1"/>
  <c r="E61" i="10"/>
  <c r="D212" i="22" s="1"/>
  <c r="E52" i="10"/>
  <c r="D203" i="22" s="1"/>
  <c r="E56" i="10"/>
  <c r="D207" i="22" s="1"/>
  <c r="E58" i="10"/>
  <c r="D209" i="22" s="1"/>
  <c r="E67" i="10"/>
  <c r="D218" i="22" s="1"/>
  <c r="E54" i="10"/>
  <c r="D205" i="22" s="1"/>
  <c r="E62" i="10"/>
  <c r="D213" i="22" s="1"/>
  <c r="E69" i="10"/>
  <c r="D220" i="22" s="1"/>
  <c r="E57" i="10"/>
  <c r="D208" i="22" s="1"/>
  <c r="E19" i="12"/>
  <c r="E33" i="12"/>
  <c r="D257" i="22" s="1"/>
  <c r="E18" i="9"/>
  <c r="E39" i="9"/>
  <c r="D147" i="22" s="1"/>
  <c r="E40" i="9"/>
  <c r="D148" i="22" s="1"/>
  <c r="E41" i="9"/>
  <c r="D149" i="22" s="1"/>
  <c r="E49" i="9"/>
  <c r="D157" i="22" s="1"/>
  <c r="E57" i="9"/>
  <c r="D165" i="22" s="1"/>
  <c r="E23" i="9"/>
  <c r="D131" i="22" s="1"/>
  <c r="E31" i="9"/>
  <c r="E20" i="9"/>
  <c r="D128" i="22" s="1"/>
  <c r="E42" i="9"/>
  <c r="D150" i="22" s="1"/>
  <c r="E50" i="9"/>
  <c r="D158" i="22" s="1"/>
  <c r="E58" i="9"/>
  <c r="D166" i="22" s="1"/>
  <c r="E24" i="9"/>
  <c r="D132" i="22" s="1"/>
  <c r="E32" i="9"/>
  <c r="D140" i="22" s="1"/>
  <c r="E51" i="9"/>
  <c r="D159" i="22" s="1"/>
  <c r="E59" i="9"/>
  <c r="D167" i="22" s="1"/>
  <c r="E25" i="9"/>
  <c r="D133" i="22" s="1"/>
  <c r="E33" i="9"/>
  <c r="D141" i="22" s="1"/>
  <c r="E52" i="9"/>
  <c r="D160" i="22" s="1"/>
  <c r="E60" i="9"/>
  <c r="D168" i="22" s="1"/>
  <c r="E26" i="9"/>
  <c r="D134" i="22" s="1"/>
  <c r="E34" i="9"/>
  <c r="D142" i="22" s="1"/>
  <c r="E53" i="9"/>
  <c r="D161" i="22" s="1"/>
  <c r="E61" i="9"/>
  <c r="D169" i="22" s="1"/>
  <c r="E27" i="9"/>
  <c r="D135" i="22" s="1"/>
  <c r="E35" i="9"/>
  <c r="D143" i="22" s="1"/>
  <c r="E54" i="9"/>
  <c r="D162" i="22" s="1"/>
  <c r="E28" i="9"/>
  <c r="D136" i="22" s="1"/>
  <c r="D169" i="25"/>
  <c r="E47" i="9"/>
  <c r="D155" i="22" s="1"/>
  <c r="E55" i="9"/>
  <c r="D163" i="22" s="1"/>
  <c r="E21" i="9"/>
  <c r="D129" i="22" s="1"/>
  <c r="E29" i="9"/>
  <c r="D137" i="22" s="1"/>
  <c r="E37" i="9"/>
  <c r="D145" i="22" s="1"/>
  <c r="E48" i="9"/>
  <c r="D156" i="22" s="1"/>
  <c r="E56" i="9"/>
  <c r="D164" i="22" s="1"/>
  <c r="E22" i="9"/>
  <c r="D130" i="22" s="1"/>
  <c r="E30" i="9"/>
  <c r="D138" i="22" s="1"/>
  <c r="E43" i="9"/>
  <c r="D151" i="22" s="1"/>
  <c r="E44" i="9"/>
  <c r="D152" i="22" s="1"/>
  <c r="E45" i="9"/>
  <c r="D153" i="22" s="1"/>
  <c r="E46" i="9"/>
  <c r="D154" i="22" s="1"/>
  <c r="E18" i="10"/>
  <c r="E28" i="10"/>
  <c r="D179" i="22" s="1"/>
  <c r="E21" i="10"/>
  <c r="D172" i="22" s="1"/>
  <c r="E29" i="10"/>
  <c r="D180" i="22" s="1"/>
  <c r="E22" i="10"/>
  <c r="D173" i="22" s="1"/>
  <c r="E30" i="10"/>
  <c r="D181" i="22" s="1"/>
  <c r="E23" i="10"/>
  <c r="D174" i="22" s="1"/>
  <c r="E31" i="10"/>
  <c r="D182" i="22" s="1"/>
  <c r="E24" i="10"/>
  <c r="D175" i="22" s="1"/>
  <c r="E25" i="10"/>
  <c r="D176" i="22" s="1"/>
  <c r="E33" i="10"/>
  <c r="D184" i="22" s="1"/>
  <c r="E26" i="10"/>
  <c r="D177" i="22" s="1"/>
  <c r="E20" i="10"/>
  <c r="D171" i="22" s="1"/>
  <c r="E27" i="10"/>
  <c r="D178" i="22" s="1"/>
  <c r="E18" i="12"/>
  <c r="E24" i="12"/>
  <c r="D247" i="22" s="1"/>
  <c r="E23" i="12"/>
  <c r="E25" i="12"/>
  <c r="E26" i="12"/>
  <c r="D250" i="22" s="1"/>
  <c r="E31" i="12"/>
  <c r="D255" i="22" s="1"/>
  <c r="E27" i="12"/>
  <c r="D251" i="22" s="1"/>
  <c r="E29" i="12"/>
  <c r="D253" i="22" s="1"/>
  <c r="E28" i="12"/>
  <c r="D252" i="22" s="1"/>
  <c r="E30" i="12"/>
  <c r="D254" i="22" s="1"/>
  <c r="E25" i="11"/>
  <c r="D232" i="22" s="1"/>
  <c r="E33" i="11"/>
  <c r="D240" i="22" s="1"/>
  <c r="E24" i="11"/>
  <c r="D231" i="22" s="1"/>
  <c r="E34" i="11"/>
  <c r="D241" i="22" s="1"/>
  <c r="E28" i="11"/>
  <c r="D235" i="22" s="1"/>
  <c r="E36" i="11"/>
  <c r="D243" i="22" s="1"/>
  <c r="D228" i="22"/>
  <c r="D229" i="22"/>
  <c r="E32" i="11"/>
  <c r="D239" i="22" s="1"/>
  <c r="E26" i="11"/>
  <c r="D233" i="22" s="1"/>
  <c r="E27" i="11"/>
  <c r="D234" i="22" s="1"/>
  <c r="E35" i="11"/>
  <c r="D242" i="22" s="1"/>
  <c r="E37" i="11"/>
  <c r="D244" i="22" s="1"/>
  <c r="E31" i="11"/>
  <c r="D238" i="22" s="1"/>
  <c r="D230" i="22"/>
  <c r="E29" i="11"/>
  <c r="D236" i="22" s="1"/>
  <c r="E30" i="11"/>
  <c r="D237" i="22" s="1"/>
  <c r="E18" i="11"/>
  <c r="D227" i="22"/>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D248" i="22" l="1"/>
  <c r="D249" i="22"/>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4" i="22"/>
  <c r="E345" i="22"/>
  <c r="E343" i="22"/>
  <c r="E346" i="22"/>
  <c r="E342" i="22"/>
  <c r="E341" i="22"/>
  <c r="E336" i="22"/>
  <c r="E339" i="22"/>
  <c r="E335" i="22"/>
  <c r="E333" i="22"/>
  <c r="E337" i="22"/>
  <c r="E338" i="22"/>
  <c r="E334" i="22"/>
  <c r="E332" i="22"/>
  <c r="E328" i="22"/>
  <c r="E327" i="22"/>
  <c r="E330" i="22"/>
  <c r="E329" i="22"/>
  <c r="E326" i="22"/>
  <c r="E321" i="22"/>
  <c r="E324" i="22"/>
  <c r="E323" i="22"/>
  <c r="E322" i="22"/>
  <c r="E320" i="22"/>
  <c r="E316" i="22"/>
  <c r="E315" i="22"/>
  <c r="E318" i="22"/>
  <c r="E317" i="22"/>
  <c r="E314" i="22"/>
  <c r="E312" i="22"/>
  <c r="E311" i="22"/>
  <c r="E303" i="22"/>
  <c r="E308" i="22"/>
  <c r="E302" i="22"/>
  <c r="E305" i="22"/>
  <c r="E309" i="22"/>
  <c r="E304" i="22"/>
  <c r="E301" i="22"/>
  <c r="E306" i="22"/>
  <c r="E307" i="22"/>
  <c r="E300" i="22"/>
  <c r="D258" i="25"/>
  <c r="E297" i="22"/>
  <c r="E258" i="25" s="1"/>
  <c r="D256" i="25"/>
  <c r="E295" i="22"/>
  <c r="E256" i="25" s="1"/>
  <c r="D255" i="25"/>
  <c r="E294" i="22"/>
  <c r="E255" i="25" s="1"/>
  <c r="D249" i="25"/>
  <c r="E288" i="22"/>
  <c r="E249" i="25" s="1"/>
  <c r="D259" i="25"/>
  <c r="E298" i="22"/>
  <c r="E259" i="25" s="1"/>
  <c r="D254" i="25"/>
  <c r="E293" i="22"/>
  <c r="E254" i="25" s="1"/>
  <c r="D251" i="25"/>
  <c r="E290" i="22"/>
  <c r="E251" i="25" s="1"/>
  <c r="D253" i="25"/>
  <c r="E292" i="22"/>
  <c r="E253" i="25" s="1"/>
  <c r="D252" i="25"/>
  <c r="E291" i="22"/>
  <c r="E252" i="25" s="1"/>
  <c r="D250" i="25"/>
  <c r="E289" i="22"/>
  <c r="E250" i="25" s="1"/>
  <c r="D257" i="25"/>
  <c r="E296" i="22"/>
  <c r="E257" i="25" s="1"/>
  <c r="D248" i="25"/>
  <c r="E287" i="22"/>
  <c r="E248" i="25" s="1"/>
  <c r="D226" i="25"/>
  <c r="E265" i="22"/>
  <c r="E226" i="25" s="1"/>
  <c r="D244" i="25"/>
  <c r="E283" i="22"/>
  <c r="E244" i="25" s="1"/>
  <c r="D246" i="25"/>
  <c r="E285" i="22"/>
  <c r="E246" i="25" s="1"/>
  <c r="D238" i="25"/>
  <c r="E277" i="22"/>
  <c r="E238" i="25" s="1"/>
  <c r="D245" i="25"/>
  <c r="E284" i="22"/>
  <c r="E245" i="25" s="1"/>
  <c r="D243" i="25"/>
  <c r="E282" i="22"/>
  <c r="E243" i="25" s="1"/>
  <c r="D222" i="25"/>
  <c r="E261" i="22"/>
  <c r="E222" i="25" s="1"/>
  <c r="D237" i="25"/>
  <c r="E276" i="22"/>
  <c r="E237" i="25" s="1"/>
  <c r="D235" i="25"/>
  <c r="E274" i="22"/>
  <c r="E235" i="25" s="1"/>
  <c r="D229" i="25"/>
  <c r="E268" i="22"/>
  <c r="E229" i="25" s="1"/>
  <c r="D221" i="25"/>
  <c r="E260" i="22"/>
  <c r="E221" i="25" s="1"/>
  <c r="D232" i="25"/>
  <c r="E271" i="22"/>
  <c r="E232" i="25" s="1"/>
  <c r="D227" i="25"/>
  <c r="E266" i="22"/>
  <c r="E227" i="25" s="1"/>
  <c r="D236" i="25"/>
  <c r="E275" i="22"/>
  <c r="E236" i="25" s="1"/>
  <c r="D228" i="25"/>
  <c r="E267" i="22"/>
  <c r="E228" i="25" s="1"/>
  <c r="D239" i="25"/>
  <c r="E278" i="22"/>
  <c r="E239" i="25" s="1"/>
  <c r="D219" i="25"/>
  <c r="E258" i="22"/>
  <c r="E219" i="25" s="1"/>
  <c r="D220" i="25"/>
  <c r="E259" i="22"/>
  <c r="E220" i="25" s="1"/>
  <c r="D241" i="25"/>
  <c r="E280" i="22"/>
  <c r="E241" i="25" s="1"/>
  <c r="D223" i="25"/>
  <c r="E262" i="22"/>
  <c r="E223" i="25" s="1"/>
  <c r="D240" i="25"/>
  <c r="E279" i="22"/>
  <c r="E240" i="25" s="1"/>
  <c r="D242" i="25"/>
  <c r="E281" i="22"/>
  <c r="E242" i="25" s="1"/>
  <c r="D233" i="25"/>
  <c r="E272" i="22"/>
  <c r="E233" i="25" s="1"/>
  <c r="D231" i="25"/>
  <c r="E270" i="22"/>
  <c r="E231" i="25" s="1"/>
  <c r="D230" i="25"/>
  <c r="E269" i="22"/>
  <c r="E230" i="25" s="1"/>
  <c r="D224" i="25"/>
  <c r="E263" i="22"/>
  <c r="E224" i="25" s="1"/>
  <c r="D234" i="25"/>
  <c r="E273" i="22"/>
  <c r="E234" i="25" s="1"/>
  <c r="D225" i="25"/>
  <c r="E264" i="22"/>
  <c r="E225" i="25" s="1"/>
  <c r="D218" i="25"/>
  <c r="E257" i="22"/>
  <c r="E218" i="25" s="1"/>
  <c r="D152" i="25"/>
  <c r="E247" i="22"/>
  <c r="E152" i="25" s="1"/>
  <c r="D158" i="25"/>
  <c r="E254" i="22"/>
  <c r="E158" i="25" s="1"/>
  <c r="D156" i="25"/>
  <c r="E252" i="22"/>
  <c r="E156" i="25" s="1"/>
  <c r="D157" i="25"/>
  <c r="E253" i="22"/>
  <c r="E157" i="25" s="1"/>
  <c r="D155" i="25"/>
  <c r="E251" i="22"/>
  <c r="E155" i="25" s="1"/>
  <c r="E248" i="22"/>
  <c r="E153" i="25" s="1"/>
  <c r="E249" i="22"/>
  <c r="D159" i="25"/>
  <c r="E255" i="22"/>
  <c r="E159" i="25" s="1"/>
  <c r="D154" i="25"/>
  <c r="E250"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39" i="22"/>
  <c r="D167" i="25" s="1"/>
  <c r="E139" i="22"/>
  <c r="E167" i="25" s="1"/>
  <c r="E136" i="22"/>
  <c r="D166" i="25"/>
  <c r="E129" i="22"/>
  <c r="E166" i="25" s="1"/>
  <c r="E131" i="22"/>
  <c r="D168" i="25"/>
  <c r="E140" i="22"/>
  <c r="E168" i="25" s="1"/>
  <c r="D165" i="25"/>
  <c r="E128" i="22"/>
  <c r="E165" i="25" s="1"/>
  <c r="D153" i="25"/>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O143" i="20" s="1"/>
  <c r="K71" i="20"/>
  <c r="O71" i="20" s="1"/>
  <c r="K72" i="20"/>
  <c r="O72" i="20" s="1"/>
  <c r="K146" i="20"/>
  <c r="O146" i="20" s="1"/>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O140" i="20" s="1"/>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O139" i="20" s="1"/>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O138" i="20" s="1"/>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O145" i="20" s="1"/>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O144" i="20" s="1"/>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V26" i="20"/>
  <c r="H42" i="21"/>
  <c r="A30" i="21"/>
  <c r="V31" i="20"/>
  <c r="R17" i="20"/>
  <c r="R18" i="20" s="1"/>
  <c r="R19" i="20" s="1"/>
  <c r="S16" i="20"/>
  <c r="S50" i="20"/>
  <c r="U105" i="20" l="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104" i="20"/>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<sst xmlns="http://schemas.openxmlformats.org/spreadsheetml/2006/main" count="6138" uniqueCount="1829">
  <si>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</si>
  <si>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</si>
  <si>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</si>
  <si>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</si>
  <si>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</si>
  <si>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</si>
  <si>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</si>
  <si>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</si>
  <si>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</si>
  <si>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</si>
  <si>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</si>
  <si>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</si>
  <si>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</si>
  <si>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</si>
  <si>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</si>
  <si>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</si>
  <si>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</si>
  <si>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</si>
  <si>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</si>
  <si>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</si>
  <si>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</si>
  <si>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</si>
  <si>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</si>
  <si>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</si>
  <si>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</si>
  <si>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</si>
  <si>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</si>
  <si>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</si>
  <si>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</si>
  <si>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</si>
  <si>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</si>
  <si>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</si>
  <si>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</si>
  <si>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</si>
  <si>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</si>
  <si>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</si>
  <si>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</si>
  <si>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</si>
  <si>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</si>
  <si>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</si>
  <si>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</si>
  <si>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</si>
  <si>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</si>
  <si>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</si>
  <si>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</si>
  <si>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</si>
  <si>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</si>
  <si>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</si>
  <si>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</si>
  <si>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</si>
  <si>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</si>
  <si>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</si>
  <si>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</si>
  <si>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</si>
  <si>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</si>
  <si>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</si>
  <si>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</si>
  <si>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</si>
  <si>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</si>
  <si>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</si>
  <si>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</si>
  <si>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</si>
  <si>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</si>
  <si>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</si>
  <si>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</si>
  <si>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</si>
  <si>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</si>
  <si>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</si>
  <si>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</si>
  <si>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</si>
  <si>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</si>
  <si>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</si>
  <si>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</si>
  <si>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</si>
  <si>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</si>
  <si>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</si>
  <si>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</si>
  <si>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</si>
  <si>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</si>
  <si>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</si>
  <si>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</si>
  <si>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</si>
  <si>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</si>
  <si>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</si>
  <si>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</si>
  <si>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</si>
  <si>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</si>
  <si>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</si>
  <si>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</si>
  <si>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</si>
  <si>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</si>
  <si>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</si>
  <si>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</si>
  <si>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</si>
  <si>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</si>
  <si>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</si>
  <si>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</si>
  <si>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</si>
  <si>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</si>
  <si>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</si>
  <si>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</si>
  <si>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</si>
  <si>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</si>
  <si>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</si>
  <si>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</si>
  <si>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</si>
  <si>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</si>
  <si>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</si>
  <si>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</si>
  <si>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</si>
  <si>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</si>
  <si>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</si>
  <si>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</si>
  <si>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</si>
  <si>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</si>
  <si>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</si>
  <si>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</si>
  <si>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</si>
  <si>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</si>
  <si>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</si>
  <si>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</si>
  <si>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</si>
  <si>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</si>
  <si>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</si>
  <si>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</si>
  <si>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</si>
  <si>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</si>
  <si>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</si>
  <si>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</si>
  <si>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</si>
  <si>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</si>
  <si>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</si>
  <si>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</si>
  <si>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</si>
  <si>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</si>
  <si>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</si>
  <si>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</si>
  <si>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</si>
  <si>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</si>
  <si>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</si>
  <si>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</si>
  <si>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</si>
  <si>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</si>
  <si>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</si>
  <si>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</si>
  <si>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</si>
  <si>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</si>
  <si>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</si>
  <si>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</si>
  <si>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</si>
  <si>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</si>
  <si>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</si>
  <si>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</si>
  <si>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</si>
  <si>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</si>
  <si>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</si>
  <si>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</si>
  <si>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</si>
  <si>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</si>
  <si>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</si>
  <si>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</si>
  <si>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</si>
  <si>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</si>
  <si>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</si>
  <si>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</si>
  <si>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</si>
  <si>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</si>
  <si>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</si>
  <si>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</si>
  <si>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</si>
  <si>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</si>
  <si>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</si>
  <si>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</si>
  <si>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</si>
  <si>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</si>
  <si>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</si>
  <si>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</si>
  <si>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</si>
  <si>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</si>
  <si>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</si>
  <si>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</si>
  <si>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</si>
  <si>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</si>
  <si>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</si>
  <si>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</si>
  <si>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</si>
  <si>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</si>
  <si>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</si>
  <si>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</si>
  <si>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</si>
  <si>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</si>
  <si>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</si>
  <si>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</si>
  <si>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</si>
  <si>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</si>
  <si>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</si>
  <si>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</si>
  <si>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</si>
  <si>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</si>
  <si>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</si>
  <si>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</si>
  <si>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</si>
  <si>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</si>
  <si>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</si>
  <si>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</si>
  <si>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</si>
  <si>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</si>
  <si>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</si>
  <si>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</si>
  <si>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</si>
  <si>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</si>
  <si>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</si>
  <si>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</si>
  <si>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</si>
  <si>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</si>
  <si>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</si>
  <si>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</si>
  <si>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</si>
  <si>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</si>
  <si>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</si>
  <si>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</si>
  <si>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</si>
  <si>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</si>
  <si>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</si>
  <si>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</si>
  <si>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</si>
  <si>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</si>
  <si>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</si>
  <si>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</si>
  <si>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</si>
  <si>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</si>
  <si>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</si>
  <si>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</si>
  <si>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</si>
  <si>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</si>
  <si>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</si>
  <si>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</si>
  <si>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</si>
  <si>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</si>
  <si>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</si>
  <si>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</si>
  <si>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</si>
  <si>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</si>
  <si>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</si>
  <si>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</si>
  <si>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</si>
  <si>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</si>
  <si>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</si>
  <si>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</si>
  <si>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</si>
  <si>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</si>
  <si>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</si>
  <si>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</si>
  <si>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</si>
  <si>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</si>
  <si>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</si>
  <si>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</si>
  <si>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</si>
  <si>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</si>
  <si>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</si>
  <si>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</si>
  <si>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</si>
  <si>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</si>
  <si>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</si>
  <si>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</si>
  <si>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</si>
  <si>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</si>
  <si>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</si>
  <si>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</si>
  <si>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</si>
  <si>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</si>
  <si>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</si>
  <si>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</si>
  <si>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</si>
  <si>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</si>
  <si>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</si>
  <si>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</si>
  <si>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</si>
  <si>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</si>
  <si>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</si>
  <si>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</si>
  <si>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</si>
  <si>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</si>
  <si>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</si>
  <si>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</si>
  <si>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</si>
  <si>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</si>
  <si>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</si>
  <si>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</si>
  <si>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</si>
  <si>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</si>
  <si>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</si>
  <si>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</si>
  <si>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</si>
  <si>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</si>
  <si>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</si>
  <si>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</si>
  <si>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</si>
  <si>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</si>
  <si>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</si>
  <si>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</si>
  <si>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</si>
  <si>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</si>
  <si>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</si>
  <si>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</si>
  <si>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</si>
  <si>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</si>
  <si>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</si>
  <si>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</si>
  <si>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</si>
  <si>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</si>
  <si>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</si>
  <si>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</si>
  <si>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</si>
  <si>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</si>
  <si>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</si>
  <si>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</si>
  <si>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</si>
  <si>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</si>
  <si>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</si>
  <si>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</si>
  <si>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</si>
  <si>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</si>
  <si>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</si>
  <si>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</si>
  <si>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</si>
  <si>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</si>
  <si>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</si>
  <si>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</si>
  <si>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</si>
  <si>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</si>
  <si>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</si>
  <si>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</si>
  <si>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</si>
  <si>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</si>
  <si>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</si>
  <si>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</si>
  <si>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</si>
  <si>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</si>
  <si>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</si>
  <si>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</si>
  <si>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</si>
  <si>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</si>
  <si>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</si>
  <si>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</si>
  <si>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</si>
  <si>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</si>
  <si>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</si>
  <si>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</si>
  <si>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</si>
  <si>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</si>
  <si>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</si>
  <si>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</si>
  <si>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</si>
  <si>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</si>
  <si>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</si>
  <si>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</si>
  <si>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</si>
  <si>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</si>
  <si>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</si>
  <si>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</si>
  <si>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</si>
  <si>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</si>
  <si>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</si>
  <si>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</si>
  <si>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</si>
  <si>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</si>
  <si>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</si>
  <si>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</si>
  <si>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</si>
  <si>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</si>
  <si>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</si>
  <si>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</si>
  <si>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</si>
  <si>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</si>
  <si>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</si>
  <si>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</si>
  <si>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</si>
  <si>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</si>
  <si>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</si>
  <si>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</si>
  <si>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</si>
  <si>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</si>
  <si>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</si>
  <si>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</si>
  <si>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</si>
  <si>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</si>
  <si>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</si>
  <si>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</si>
  <si>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</si>
  <si>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</si>
  <si>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</si>
  <si>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</si>
  <si>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</si>
  <si>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</si>
  <si>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</si>
  <si>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</si>
  <si>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</si>
  <si>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</si>
  <si>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</si>
  <si>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</si>
  <si>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</si>
  <si>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</si>
  <si>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</si>
  <si>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</si>
  <si>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</si>
  <si>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</si>
  <si>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</si>
  <si>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</si>
  <si>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</si>
  <si>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</si>
  <si>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</si>
  <si>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</si>
  <si>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</si>
  <si>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</si>
  <si>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</si>
  <si>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</si>
  <si>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</si>
  <si>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</si>
  <si>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</si>
  <si>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</si>
  <si>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</si>
  <si>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</si>
  <si>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</si>
  <si>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</si>
  <si>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</si>
  <si>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</si>
  <si>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</si>
  <si>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</si>
  <si>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</si>
  <si>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</si>
  <si>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</si>
  <si>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</si>
  <si>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</si>
  <si>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</si>
  <si>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</si>
  <si>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</si>
  <si>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</si>
  <si>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</si>
  <si>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</si>
  <si>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</si>
  <si>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</si>
  <si>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</si>
  <si>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</si>
  <si>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</si>
  <si>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</si>
  <si>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</si>
  <si>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</si>
  <si>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</si>
  <si>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</si>
  <si>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</si>
  <si>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</si>
  <si>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</si>
  <si>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</si>
  <si>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</si>
  <si>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</si>
  <si>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</si>
  <si>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</si>
  <si>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</si>
  <si>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</si>
  <si>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</si>
  <si>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</si>
  <si>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</si>
  <si>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</si>
  <si>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</si>
  <si>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</si>
  <si>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</si>
  <si>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</si>
  <si>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</si>
  <si>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</si>
  <si>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</si>
  <si>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</si>
  <si>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</si>
  <si>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</si>
  <si>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</si>
  <si>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</si>
  <si>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</si>
  <si>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</si>
  <si>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</si>
  <si>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</si>
  <si>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</si>
  <si>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</si>
  <si>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</si>
  <si>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</si>
  <si>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</si>
  <si>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</si>
  <si>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</si>
  <si>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</si>
  <si>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</si>
  <si>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</si>
  <si>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</si>
  <si>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</si>
  <si>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</si>
  <si>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</si>
  <si>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</si>
  <si>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</si>
  <si>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</si>
  <si>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</si>
  <si>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</si>
  <si>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</si>
  <si>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</si>
  <si>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</si>
  <si>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</si>
  <si>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</si>
  <si>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</si>
  <si>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</si>
  <si>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</si>
  <si>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</si>
  <si>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</si>
  <si>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</si>
  <si>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</si>
  <si>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</si>
  <si>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</si>
  <si>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</si>
  <si>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</si>
  <si>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</si>
  <si>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</si>
  <si>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</si>
  <si>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</si>
  <si>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</si>
  <si>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</si>
  <si>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</si>
  <si>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</si>
  <si>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</si>
  <si>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</si>
  <si>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</si>
  <si>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</si>
  <si>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</si>
  <si>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</si>
  <si>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</si>
  <si>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</si>
  <si>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</si>
  <si>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</si>
  <si>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</si>
  <si>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</si>
  <si>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</si>
  <si>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</si>
  <si>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</si>
  <si>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</si>
  <si>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</si>
  <si>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</si>
  <si>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</si>
  <si>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</si>
  <si>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</si>
  <si>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</si>
  <si>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</si>
  <si>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</si>
  <si>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</si>
  <si>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</si>
  <si>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</si>
  <si>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</si>
  <si>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</si>
  <si>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</si>
  <si>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</si>
  <si>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</si>
  <si>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</si>
  <si>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</si>
  <si>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</si>
  <si>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</si>
  <si>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</si>
  <si>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</si>
  <si>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</si>
  <si>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</si>
  <si>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</si>
  <si>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</si>
  <si>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</si>
  <si>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</si>
  <si>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</si>
  <si>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</si>
  <si>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</si>
  <si>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</si>
  <si>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</si>
  <si>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</si>
  <si>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</si>
  <si>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</si>
  <si>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</si>
  <si>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</si>
  <si>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</si>
  <si>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</si>
  <si>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</si>
  <si>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</si>
  <si>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</si>
  <si>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</si>
  <si>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</si>
  <si>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</si>
  <si>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</si>
  <si>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</si>
  <si>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</si>
  <si>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</si>
  <si>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</si>
  <si>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</si>
  <si>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</si>
  <si>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</si>
  <si>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</si>
  <si>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</si>
  <si>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</si>
  <si>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</si>
  <si>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</si>
  <si>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</si>
  <si>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</si>
  <si>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</si>
  <si>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</si>
  <si>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</si>
  <si>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</si>
  <si>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</si>
  <si>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</si>
  <si>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</si>
  <si>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</si>
  <si>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</si>
  <si>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</si>
  <si>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</si>
  <si>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</si>
  <si>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</si>
  <si>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</si>
  <si>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</si>
  <si>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</si>
  <si>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</si>
  <si>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</si>
  <si>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</si>
  <si>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</si>
  <si>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</si>
  <si>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</si>
  <si>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</si>
  <si>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</si>
  <si>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</si>
  <si>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</si>
  <si>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</si>
  <si>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</si>
  <si>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</si>
  <si>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</si>
  <si>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</si>
  <si>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</si>
  <si>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</si>
  <si>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</si>
  <si>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</si>
  <si>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</si>
  <si>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</si>
  <si>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</si>
  <si>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</si>
  <si>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</si>
  <si>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</si>
  <si>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</si>
  <si>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</si>
  <si>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</si>
  <si>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</si>
  <si>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</si>
  <si>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</si>
  <si>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</si>
  <si>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</si>
  <si>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</si>
  <si>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</si>
  <si>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</si>
  <si>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</si>
  <si>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</si>
  <si>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</si>
  <si>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</si>
  <si>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</si>
  <si>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</si>
  <si>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</si>
  <si>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</si>
  <si>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</si>
  <si>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</si>
  <si>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</si>
  <si>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</si>
  <si>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</si>
  <si>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</si>
  <si>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</si>
  <si>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</si>
  <si>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</si>
  <si>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</si>
  <si>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</si>
  <si>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</si>
  <si>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</si>
  <si>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</si>
  <si>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</si>
  <si>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</si>
  <si>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</si>
  <si>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</si>
  <si>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</si>
  <si>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</si>
  <si>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</si>
  <si>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</si>
  <si>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</si>
  <si>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</si>
  <si>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</si>
  <si>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</si>
  <si>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</si>
  <si>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</si>
  <si>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</si>
  <si>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</si>
  <si>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</si>
  <si>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</si>
  <si>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</si>
  <si>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</si>
  <si>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</si>
  <si>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</si>
  <si>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</si>
  <si>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</si>
  <si>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</si>
  <si>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</si>
  <si>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</si>
  <si>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</si>
  <si>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</si>
  <si>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</si>
  <si>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</si>
  <si>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</si>
  <si>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</si>
  <si>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</si>
  <si>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</si>
  <si>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</si>
  <si>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</si>
  <si>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</si>
  <si>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</si>
  <si>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</si>
  <si>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</si>
  <si>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</si>
  <si>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</si>
  <si>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</si>
  <si>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</si>
  <si>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</si>
  <si>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</si>
  <si>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</si>
  <si>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</si>
  <si>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</si>
  <si>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</si>
  <si>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</si>
  <si>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</si>
  <si>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</si>
  <si>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</si>
  <si>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</si>
  <si>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</si>
  <si>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</si>
  <si>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</si>
  <si>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</si>
  <si>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</si>
  <si>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</si>
  <si>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</si>
  <si>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</si>
  <si>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</si>
  <si>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</si>
  <si>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</si>
  <si>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</si>
  <si>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</si>
  <si>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</si>
  <si>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</si>
  <si>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</si>
  <si>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</si>
  <si>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</si>
  <si>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</si>
  <si>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</si>
  <si>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</si>
  <si>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</si>
  <si>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</si>
  <si>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</si>
  <si>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</si>
  <si>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</si>
  <si>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</si>
  <si>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</si>
  <si>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</si>
  <si>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</si>
  <si>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</si>
  <si>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</si>
  <si>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</si>
  <si>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</si>
  <si>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</si>
  <si>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</si>
  <si>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</si>
  <si>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</si>
  <si>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</si>
  <si>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</si>
  <si>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</si>
  <si>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</si>
  <si>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</si>
  <si>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</si>
  <si>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</si>
  <si>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</si>
  <si>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</si>
  <si>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</si>
  <si>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</si>
  <si>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</si>
  <si>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</si>
  <si>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</si>
  <si>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</si>
  <si>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</si>
  <si>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</si>
  <si>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</si>
  <si>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</si>
  <si>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</si>
  <si>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</si>
  <si>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</si>
  <si>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</si>
  <si>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</si>
  <si>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</si>
  <si>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</si>
  <si>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</si>
  <si>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</si>
  <si>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</si>
  <si>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</si>
  <si>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</si>
  <si>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</si>
  <si>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</si>
  <si>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</si>
  <si>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</si>
  <si>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</si>
  <si>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</si>
  <si>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</si>
  <si>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</si>
  <si>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</si>
  <si>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</si>
  <si>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</si>
  <si>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</si>
  <si>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</si>
  <si>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</si>
  <si>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</si>
  <si>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</si>
  <si>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</si>
  <si>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</si>
  <si>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</si>
  <si>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</si>
  <si>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</si>
  <si>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</si>
  <si>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</si>
  <si>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</si>
  <si>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</si>
  <si>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</si>
  <si>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</si>
  <si>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</si>
  <si>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</si>
  <si>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</si>
  <si>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</si>
  <si>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</si>
  <si>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</si>
  <si>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</si>
  <si>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</si>
  <si>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</si>
  <si>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</si>
  <si>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</si>
  <si>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</si>
  <si>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</si>
  <si>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</si>
  <si>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</si>
  <si>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</si>
  <si>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</si>
  <si>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</si>
  <si>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</si>
  <si>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</si>
  <si>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</si>
  <si>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</si>
  <si>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</si>
  <si>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</si>
  <si>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</si>
  <si>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</si>
  <si>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</si>
  <si>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</si>
  <si>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</si>
  <si>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</si>
  <si>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</si>
  <si>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</si>
  <si>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</si>
  <si>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</si>
  <si>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</si>
  <si>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</si>
  <si>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</si>
  <si>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</si>
  <si>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</si>
  <si>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</si>
  <si>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</si>
  <si>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</si>
  <si>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</si>
  <si>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</si>
  <si>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</si>
  <si>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</si>
  <si>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</si>
  <si>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</si>
  <si>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</si>
  <si>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</si>
  <si>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</si>
  <si>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</si>
  <si>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</si>
  <si>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</si>
  <si>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</si>
  <si>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</si>
  <si>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</si>
  <si>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</si>
  <si>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</si>
  <si>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</si>
  <si>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</si>
  <si>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</si>
  <si>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</si>
  <si>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</si>
  <si>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</si>
  <si>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</si>
  <si>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</si>
  <si>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</si>
  <si>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</si>
  <si>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</si>
  <si>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</si>
  <si>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</si>
  <si>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</si>
  <si>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</si>
  <si>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</si>
  <si>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</si>
  <si>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</si>
  <si>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</si>
  <si>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</si>
  <si>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</si>
  <si>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</si>
  <si>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</si>
  <si>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</si>
  <si>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</si>
  <si>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</si>
  <si>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</si>
  <si>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</si>
  <si>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</si>
  <si>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</si>
  <si>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</si>
  <si>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</si>
  <si>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</si>
  <si>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</si>
  <si>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</si>
  <si>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</si>
  <si>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</si>
  <si>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</si>
  <si>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</si>
  <si>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</si>
  <si>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</si>
  <si>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</si>
  <si>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</si>
  <si>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</si>
  <si>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</si>
  <si>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</si>
  <si>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</si>
  <si>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</si>
  <si>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</si>
  <si>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</si>
  <si>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</si>
  <si>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</si>
  <si>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</si>
  <si>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</si>
  <si>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</si>
  <si>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</si>
  <si>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</si>
  <si>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</si>
  <si>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</si>
  <si>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</si>
  <si>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</si>
  <si>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</si>
  <si>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</si>
  <si>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</si>
  <si>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</si>
  <si>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</si>
  <si>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</si>
  <si>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</si>
  <si>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</si>
  <si>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</si>
  <si>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</si>
  <si>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</si>
  <si>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</si>
  <si>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</si>
  <si>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</si>
  <si>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</si>
  <si>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</si>
  <si>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</si>
  <si>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</si>
  <si>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</si>
  <si>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</si>
  <si>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</si>
  <si>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</si>
  <si>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</si>
  <si>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</si>
  <si>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</si>
  <si>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</si>
  <si>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</si>
  <si>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</si>
  <si>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</si>
  <si>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</si>
  <si>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</si>
  <si>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</si>
  <si>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</si>
  <si>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</si>
  <si>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</si>
  <si>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</si>
  <si>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</si>
  <si>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</si>
  <si>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</si>
  <si>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</si>
  <si>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</si>
  <si>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</si>
  <si>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</si>
  <si>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</si>
  <si>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</si>
  <si>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</si>
  <si>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</si>
  <si>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</si>
  <si>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</si>
  <si>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</si>
  <si>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</si>
  <si>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</si>
  <si>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</si>
  <si>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</si>
  <si>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</si>
  <si>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</si>
  <si>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</si>
  <si>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</si>
  <si>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</si>
  <si>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</si>
  <si>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</si>
  <si>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</si>
  <si>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</si>
  <si>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</si>
  <si>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</si>
  <si>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</si>
  <si>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</si>
  <si>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</si>
  <si>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</si>
  <si>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</si>
  <si>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</si>
  <si>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</si>
  <si>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</si>
  <si>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</si>
  <si>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</si>
  <si>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</si>
  <si>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</si>
  <si>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</si>
  <si>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</si>
  <si>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</si>
  <si>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</si>
  <si>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</si>
  <si>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</si>
  <si>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</si>
  <si>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</si>
  <si>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</si>
  <si>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</si>
  <si>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</si>
  <si>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</si>
  <si>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</si>
  <si>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</si>
  <si>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</si>
  <si>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</si>
  <si>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</si>
  <si>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</si>
  <si>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</si>
  <si>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</si>
  <si>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</si>
  <si>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</si>
  <si>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</si>
  <si>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</si>
  <si>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</si>
  <si>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</si>
  <si>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</si>
  <si>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</si>
  <si>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</si>
  <si>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</si>
  <si>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</si>
  <si>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</si>
  <si>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</si>
  <si>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</si>
  <si>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</si>
  <si>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</si>
  <si>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</si>
  <si>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</si>
  <si>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</si>
  <si>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</si>
  <si>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</si>
  <si>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</si>
  <si>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</si>
  <si>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</si>
  <si>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</si>
  <si>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</si>
  <si>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</si>
  <si>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</si>
  <si>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</si>
  <si>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</si>
  <si>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</si>
  <si>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</si>
  <si>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</si>
  <si>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</si>
  <si>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</si>
  <si>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</si>
  <si>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</si>
  <si>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</si>
  <si>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</si>
  <si>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</si>
  <si>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</si>
  <si>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</si>
  <si>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</si>
  <si>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</si>
  <si>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</si>
  <si>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</si>
  <si>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</si>
  <si>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</si>
  <si>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</si>
  <si>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</si>
  <si>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</si>
  <si>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</si>
  <si>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</si>
  <si>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</si>
  <si>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</si>
  <si>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</si>
  <si>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</si>
  <si>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</si>
  <si>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</si>
  <si>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</si>
  <si>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</si>
  <si>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</si>
  <si>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</si>
  <si>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</si>
  <si>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</si>
  <si>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</si>
  <si>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</si>
  <si>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</si>
  <si>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</si>
  <si>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</si>
  <si>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</si>
  <si>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</si>
  <si>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</si>
  <si>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</si>
  <si>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</si>
  <si>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</si>
  <si>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</si>
  <si>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</si>
  <si>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</si>
  <si>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</si>
  <si>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</si>
  <si>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</si>
  <si>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</si>
  <si>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</si>
  <si>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</si>
  <si>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</si>
  <si>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</si>
  <si>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</si>
  <si>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</si>
  <si>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</si>
  <si>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</si>
  <si>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</si>
  <si>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</si>
  <si>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</si>
  <si>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</si>
  <si>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</si>
  <si>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</si>
  <si>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</si>
  <si>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</si>
  <si>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</si>
  <si>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</si>
  <si>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</si>
  <si>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</si>
  <si>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</si>
  <si>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</si>
  <si>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</si>
  <si>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</si>
  <si>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</si>
  <si>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</si>
  <si>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</si>
  <si>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</si>
  <si>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</si>
  <si>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</si>
  <si>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</si>
  <si>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</si>
  <si>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</si>
  <si>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</si>
  <si>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</si>
  <si>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</si>
  <si>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</si>
  <si>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</si>
  <si>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</si>
  <si>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</si>
  <si>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</si>
  <si>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</si>
  <si>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</si>
  <si>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</si>
  <si>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</si>
  <si>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</si>
  <si>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</si>
  <si>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</si>
  <si>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</si>
  <si>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</si>
  <si>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</si>
  <si>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</si>
  <si>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</si>
  <si>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</si>
  <si>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</si>
  <si>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</si>
  <si>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</si>
  <si>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</si>
  <si>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</si>
  <si>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</si>
  <si>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</si>
  <si>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</si>
  <si>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</si>
  <si>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</si>
  <si>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</si>
  <si>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</si>
  <si>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</si>
  <si>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</si>
  <si>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</si>
  <si>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</si>
  <si>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</si>
  <si>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</si>
  <si>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</si>
  <si>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</si>
  <si>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</si>
  <si>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</si>
  <si>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</si>
  <si>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</si>
  <si>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</si>
  <si>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</si>
  <si>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</si>
  <si>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</si>
  <si>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</si>
  <si>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</si>
  <si>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</si>
  <si>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</si>
  <si>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</si>
  <si>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</si>
  <si>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</si>
  <si>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</si>
  <si>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</si>
  <si>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</si>
  <si>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</si>
  <si>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</si>
  <si>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</si>
  <si>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</si>
  <si>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</si>
  <si>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</si>
  <si>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</si>
  <si>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</si>
  <si>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</si>
  <si>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</si>
  <si>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</si>
  <si>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</si>
  <si>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</si>
  <si>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</si>
  <si>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</si>
  <si>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</si>
  <si>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</si>
  <si>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</si>
  <si>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</si>
  <si>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</si>
  <si>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</si>
  <si>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</si>
  <si>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</si>
  <si>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</si>
  <si>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</si>
  <si>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</si>
  <si>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</si>
  <si>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</si>
  <si>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</si>
  <si>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</si>
  <si>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</si>
  <si>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</si>
  <si>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</si>
  <si>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</si>
  <si>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</si>
  <si>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</si>
  <si>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</si>
  <si>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</si>
  <si>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</si>
  <si>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</si>
  <si>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</si>
  <si>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</si>
  <si>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</si>
  <si>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</si>
  <si>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</si>
  <si>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</si>
  <si>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</si>
  <si>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</si>
  <si>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</si>
  <si>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</si>
  <si>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</si>
  <si>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</si>
  <si>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</si>
  <si>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</si>
  <si>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</si>
  <si>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</si>
  <si>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</si>
  <si>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</si>
  <si>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</si>
  <si>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</si>
  <si>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</si>
  <si>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</si>
  <si>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</si>
  <si>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</si>
  <si>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</si>
  <si>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</si>
  <si>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</si>
  <si>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</si>
  <si>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</si>
  <si>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</si>
  <si>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</si>
  <si>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</si>
  <si>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</si>
  <si>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</si>
  <si>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</si>
  <si>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</si>
  <si>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</si>
  <si>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</si>
  <si>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</si>
  <si>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</si>
  <si>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</si>
  <si>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</si>
  <si>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</si>
  <si>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</si>
  <si>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</si>
  <si>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</si>
  <si>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</si>
  <si>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</si>
  <si>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</si>
  <si>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</si>
  <si>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</si>
  <si>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</si>
  <si>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</si>
  <si>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</si>
  <si>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</si>
  <si>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</si>
  <si>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</si>
  <si>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</si>
  <si>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</si>
  <si>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</si>
  <si>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</si>
  <si>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</si>
  <si>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</si>
  <si>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</si>
  <si>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</si>
  <si>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</si>
  <si>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</si>
  <si>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</si>
  <si>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</si>
  <si>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</si>
  <si>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</si>
  <si>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</si>
  <si>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</si>
  <si>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</si>
  <si>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</si>
  <si>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</si>
  <si>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</si>
  <si>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</si>
  <si>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</si>
  <si>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</si>
  <si>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</si>
  <si>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</si>
  <si>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</si>
  <si>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</si>
  <si>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</si>
  <si>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</si>
  <si>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</si>
  <si>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</si>
  <si>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</si>
  <si>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</si>
  <si>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</si>
  <si>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</si>
  <si>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</si>
  <si>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</si>
  <si>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</si>
  <si>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</si>
  <si>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</si>
  <si>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</si>
  <si>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</si>
  <si>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</si>
  <si>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</si>
  <si>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</si>
  <si>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</si>
  <si>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</si>
  <si>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</si>
  <si>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</si>
  <si>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</si>
  <si>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</si>
  <si>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</si>
  <si>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</si>
  <si>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</si>
  <si>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</si>
  <si>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</si>
  <si>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</si>
  <si>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</si>
  <si>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</si>
  <si>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</si>
  <si>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</si>
  <si>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</si>
  <si>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</si>
  <si>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</si>
  <si>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</si>
  <si>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</si>
  <si>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</si>
  <si>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</si>
  <si>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</si>
  <si>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</si>
  <si>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</si>
  <si>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</si>
  <si>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</si>
  <si>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</si>
  <si>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</si>
  <si>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</si>
  <si>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</si>
  <si>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</si>
  <si>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</si>
  <si>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</si>
  <si>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</si>
  <si>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</si>
  <si>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</si>
  <si>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</si>
  <si>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</si>
  <si>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</si>
  <si>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</si>
  <si>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</si>
  <si>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</si>
  <si>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</si>
  <si>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</si>
  <si>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</si>
  <si>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</si>
  <si>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</si>
  <si>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</si>
  <si>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</si>
  <si>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</si>
  <si>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</si>
  <si>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</si>
  <si>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</si>
  <si>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</si>
  <si>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</si>
  <si>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</si>
  <si>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</si>
  <si>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</si>
  <si>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</si>
  <si>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</si>
  <si>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</si>
  <si>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</si>
  <si>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</si>
  <si>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</si>
  <si>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</si>
  <si>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</si>
  <si>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</si>
  <si>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</si>
  <si>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</si>
  <si>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</si>
  <si>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</si>
  <si>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</si>
  <si>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</si>
  <si>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</si>
  <si>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</si>
  <si>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</si>
  <si>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</si>
  <si>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</si>
  <si>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</si>
  <si>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</si>
  <si>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</si>
  <si>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</si>
  <si>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</si>
  <si>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</si>
  <si>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</si>
  <si>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</si>
  <si>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</si>
  <si>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</si>
  <si>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</si>
  <si>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</si>
  <si>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</si>
  <si>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</si>
  <si>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</si>
  <si>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</si>
  <si>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</si>
  <si>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</si>
  <si>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</si>
  <si>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</si>
  <si>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</si>
  <si>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</si>
  <si>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</si>
  <si>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</si>
  <si>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</si>
  <si>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</si>
  <si>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</si>
  <si>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</si>
  <si>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</si>
  <si>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</si>
  <si>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</si>
  <si>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</si>
  <si>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</si>
  <si>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</si>
  <si>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</si>
  <si>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</si>
  <si>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</si>
  <si>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</si>
  <si>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</si>
  <si>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</si>
  <si>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</si>
  <si>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</si>
  <si>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</si>
  <si>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</si>
  <si>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</si>
  <si>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</si>
  <si>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</si>
  <si>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</si>
  <si>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</si>
  <si>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</si>
  <si>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</si>
  <si>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</si>
  <si>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</si>
  <si>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</si>
  <si>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</si>
  <si>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</si>
  <si>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</si>
  <si>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</si>
  <si>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</si>
  <si>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</si>
  <si>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</si>
  <si>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</si>
  <si>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</si>
  <si>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</si>
  <si>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</si>
  <si>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</si>
  <si>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</si>
  <si>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</si>
  <si>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</si>
  <si>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</si>
  <si>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</si>
  <si>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</si>
  <si>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</si>
  <si>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</si>
  <si>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</si>
  <si>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</si>
  <si>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</si>
  <si>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</si>
  <si>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</si>
  <si>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</si>
  <si>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</si>
  <si>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</si>
  <si>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</si>
  <si>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</si>
  <si>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</si>
  <si>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</si>
  <si>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</si>
  <si>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</si>
  <si>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</si>
  <si>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</si>
  <si>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</si>
  <si>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</si>
  <si>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</si>
  <si>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</si>
  <si>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</si>
  <si>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</si>
  <si>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</si>
  <si>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</si>
  <si>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</si>
  <si>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</si>
  <si>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</si>
  <si>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</si>
  <si>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</si>
  <si>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</si>
  <si>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</si>
  <si>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</si>
  <si>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</si>
  <si>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</si>
  <si>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</si>
  <si>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</si>
  <si>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</si>
  <si>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</si>
  <si>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</si>
  <si>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</si>
  <si>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</si>
  <si>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</si>
  <si>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</si>
  <si>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</si>
  <si>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</si>
  <si>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</si>
  <si>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</si>
  <si>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</si>
  <si>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</si>
  <si>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</si>
  <si>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</si>
  <si>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</si>
  <si>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</si>
  <si>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</si>
  <si>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</si>
  <si>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</si>
  <si>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</si>
  <si>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</si>
  <si>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</si>
  <si>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</si>
  <si>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</si>
  <si>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</si>
  <si>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</si>
  <si>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</si>
  <si>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</si>
  <si>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</si>
  <si>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</si>
  <si>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</si>
  <si>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</si>
  <si>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</si>
  <si>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</si>
  <si>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</si>
  <si>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</si>
  <si>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</si>
  <si>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</si>
  <si>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</si>
  <si>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</si>
  <si>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</si>
  <si>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</si>
  <si>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</si>
  <si>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</si>
  <si>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</si>
  <si>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</si>
  <si>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</si>
  <si>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</si>
  <si>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</si>
  <si>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</si>
  <si>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</si>
  <si>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</si>
  <si>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</si>
  <si>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</si>
  <si>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</si>
  <si>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</si>
  <si>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</si>
  <si>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</si>
  <si>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</si>
  <si>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</si>
  <si>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</si>
  <si>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</si>
  <si>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</si>
  <si>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Having a previous data breach can indicate a level of risk that will indicate that the instituion should further investigate changes made after the breach.</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</si>
  <si>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</si>
  <si>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</si>
  <si>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</si>
  <si>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</si>
  <si>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</si>
  <si>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</si>
  <si>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</si>
  <si>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</si>
  <si>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</si>
  <si>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</si>
  <si>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</si>
  <si>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</si>
  <si>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</si>
  <si>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</si>
  <si>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</si>
  <si>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</si>
  <si>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</si>
  <si>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</si>
  <si>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</si>
  <si>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</si>
  <si>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</si>
  <si>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</si>
  <si>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</si>
  <si>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</si>
  <si>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</si>
  <si>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</si>
  <si>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Do you perform privacy impact assesments of third parties that collect, process, or have access to personal data to ensure they meet industry and regulatory standards and to mitigate harmful, unethical, or discriminatory impacts on data subjects?</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</si>
  <si>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</si>
  <si>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</si>
  <si>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Please explain why this does not apply to your organization, product, or service.</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</si>
  <si>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</si>
  <si>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</si>
  <si>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</si>
  <si>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</si>
  <si>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</si>
  <si>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</si>
  <si>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</si>
  <si>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</si>
  <si>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It is important to have a procedure in place to mitiage privacy risks as they come up.</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</si>
  <si>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</si>
  <si>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</si>
  <si>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</si>
  <si>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</si>
  <si>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</si>
  <si>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</si>
  <si>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</si>
  <si>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</si>
  <si>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</si>
  <si>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</si>
  <si>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</si>
  <si>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</si>
  <si>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</si>
  <si>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</si>
  <si>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</si>
  <si>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</si>
  <si>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</si>
  <si>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</si>
  <si>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</si>
  <si>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</si>
  <si>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</si>
  <si>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</si>
  <si>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</si>
  <si>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</si>
  <si>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</si>
  <si>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</si>
  <si>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</si>
  <si>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</si>
  <si>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Do any parts of your instituitonal policy conflict with the solution provider's standard practices?</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</si>
  <si>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</si>
  <si>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</si>
  <si>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</si>
  <si>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</si>
  <si>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</si>
  <si>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</si>
  <si>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</si>
  <si>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</si>
  <si>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</si>
  <si>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</si>
  <si>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</si>
  <si>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</si>
  <si>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</si>
  <si>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</si>
  <si>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</si>
  <si>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</si>
  <si>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</si>
  <si>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</si>
  <si>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</si>
  <si>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</si>
  <si>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</si>
  <si>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The insitution should know which laws apply to the data to which the solution provider will have access. You should also have a thorough understanding of how requests from law enforcement will be handled.</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</si>
  <si>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</si>
  <si>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</si>
  <si>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</si>
  <si>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</si>
  <si>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</si>
  <si>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</si>
  <si>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</si>
  <si>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</si>
  <si>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</si>
  <si>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</si>
  <si>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</si>
  <si>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</si>
  <si>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</si>
  <si>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</si>
  <si>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</si>
  <si>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</si>
  <si>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</si>
  <si>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</si>
  <si>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</si>
  <si>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</si>
  <si>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</si>
  <si>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</si>
  <si>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</si>
  <si>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</si>
  <si>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</si>
  <si>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Companies may collect information for purposes not outlined in the service agreement, including quality assurance, marketing, etc. Instituions should have a thorough understanding of what data is being used and how.</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</si>
  <si>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</si>
  <si>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</si>
  <si>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Such processes would include descriptions of request processes individuals can follow to review thier information and written processes a data subject may use to ask for changes or corrections to data held about them.</t>
  </si>
  <si>
    <t>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</si>
  <si>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</si>
  <si>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</si>
  <si>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</si>
  <si>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</si>
  <si>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</si>
  <si>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</si>
  <si>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</si>
  <si>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organzations or organizations located outside the United States, depending on the services sought, your institution should determine whether this is a requirement.</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</si>
  <si>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</si>
  <si>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</si>
  <si>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</si>
  <si>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</si>
  <si>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</si>
  <si>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</si>
  <si>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</si>
  <si>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</si>
  <si>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</si>
  <si>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</si>
  <si>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</si>
  <si>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</si>
  <si>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</si>
  <si>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</si>
  <si>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</si>
  <si>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</si>
  <si>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</si>
  <si>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</si>
  <si>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</si>
  <si>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</si>
  <si>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</si>
  <si>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</si>
  <si>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</si>
  <si>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</si>
  <si>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</si>
  <si>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Version 4.1.2</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</si>
  <si>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</si>
  <si>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</si>
  <si>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</si>
  <si>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</si>
  <si>
    <t>Indiana University</t>
  </si>
  <si>
    <t>NSSE Shorts</t>
  </si>
  <si>
    <t>James Cole</t>
  </si>
  <si>
    <t>We survey undergraduate students about their college experiences</t>
  </si>
  <si>
    <t>NSSE Shorts Coordinator</t>
  </si>
  <si>
    <t>nsseshrt@iu.edu</t>
  </si>
  <si>
    <t>812-856-5824</t>
  </si>
  <si>
    <t>Bloomington, Indiana</t>
  </si>
  <si>
    <t>See Managing IU Data at: https://datamanagement.iu.edu/index.html</t>
  </si>
  <si>
    <t>NSSE Shorts is a project within the larger National Survey of Student Engagement at Indiana University.  NSSE has been an active project at Indiana University since 1999.</t>
  </si>
  <si>
    <t>See Qualtrics HECVAT 2025 for details regarding Qualtrics documentation: https://bcsse.iu.edu/doc/bcsse/Qualtrics%20HECVAT%202025.xlsx</t>
  </si>
  <si>
    <t>Only one version of the Qualtrics platform is available. Upgrades and fixes to the platform are implemented across all customers.</t>
  </si>
  <si>
    <t>Sometimes for NSSE Shorts, needed updates will be made during regular business hours</t>
  </si>
  <si>
    <t>Project director and manager authorize all needed updates</t>
  </si>
  <si>
    <t>NSSE Shorts is part of Indiana University that operates in Bloomington, Indiana</t>
  </si>
  <si>
    <t>NSSE Shorts as a project does not. HOWEVER, Qualtrics does;  see Qualtrics HECVAT 2025 for more details: https://bcsse.iu.edu/doc/bcsse/Qualtrics%20HECVAT%202025.xlsx</t>
  </si>
  <si>
    <t>NSSE Shorts as a project does not. HOWEVER, Qualtrics does; see Qualtrics HECVAT 2025 for more details: https://bcsse.iu.edu/doc/bcsse/Qualtrics%20HECVAT%202025.xlsx</t>
  </si>
  <si>
    <t>NSSE Shorts as a project does not. See Qualtrics HECVAT 2025 for more details: https://bcsse.iu.edu/doc/bcsse/Qualtrics%20HECVAT%202025.xlsx</t>
  </si>
  <si>
    <t>NSSE Shorts as part of the larger NSSE project data security policies that all staff/researchers much agree to. Also see Qualtrics HECVAT 2025 for more details: https://bcsse.iu.edu/doc/bcsse/Qualtrics%20HECVAT%202025.xlsx</t>
  </si>
  <si>
    <t>Password settings are determined by the customer for their own instance. For more information see https://www.qualtrics.com/support/survey-platform/sp-administration/security-tab/</t>
  </si>
  <si>
    <t>See Qualtrics HECVAT 2025 for more details: https://bcsse.iu.edu/doc/bcsse/Qualtrics%20HECVAT%202025.xlsx</t>
  </si>
  <si>
    <t>Customers determine the following about the data stored in the Qualtrics platform:
• Which type of data to collect
• Who to collect data from
• Where to collect data
• What purpose
• When to delete the data
Qualtrics does not classify Data into sub-categories of confidential information. All Data is treated as confidential and is processed equally regardless of their content</t>
  </si>
  <si>
    <t>"All access to Qualtrics front-end Services is via Hypertext Transfer Protocol Secure (HTTPS) and enforces HTTP Strict Transport Security (HSTS). The platform supports Transport Layer Security (TLS) for all interaction with the platform. Access to the back-end services using the Qualtrics API supports TLS v1.2. Data is processed by
application servers and sent to database servers for storage. Respondent Data includes survey questions, graphics, and other content created in the survey design."</t>
  </si>
  <si>
    <t>IU: see IU Data Management https://datamanagement.iu.edu/index.html
Qualtrics: Disk level encryption is standard for Data stored on the platform. Data at rest uses AES 256-bit encryption. Unique keys are generated per server or data storage volume. Encryption keys are stored within a software vault where they are encrypted with key encrypting keys of equivalent strength. Keys are rotated whenever data storage volumes are rebuilt.</t>
  </si>
  <si>
    <t>Qualtrics: The Federal Information Processing Standards (FIPS) Publication Series of the National Institute of Standards and Technology (NIST) is the official series of publications relating to standards and guidelines adopted and promulgated under the provisions of the Federal Information Security Management Act (FISMA) of 2002. Publication 200, “Minimum Security Requirements for Federal Information and Information Systems” proposes a basis for sound security practices in any organization. Qualtrics meets all requirements as listed in section 3, such as security training, incident response, media protection, and risk assessment. In-transit data (using TLS) are encrypted using FIPS-compliant modules</t>
  </si>
  <si>
    <t>NSSE Shorts stores all data in perpetuity as an archive for each institution.</t>
  </si>
  <si>
    <t>Customers own their data at all times.</t>
  </si>
  <si>
    <t>Data are stored at IU in Bloomington Indiana and in Qualtrics platform</t>
  </si>
  <si>
    <t>All data are available for download at anytime by the institution</t>
  </si>
  <si>
    <t>All data are stored on secure IU servers and at Qualtrics</t>
  </si>
  <si>
    <t>NSSE Shorts staff have access to student survey data</t>
  </si>
  <si>
    <t xml:space="preserve">All remote access controlled by Indiana University. </t>
  </si>
  <si>
    <t>NSSE Shorts control user access management, including permissions assigned.</t>
  </si>
  <si>
    <t>Qualtrics takes a multi-tier approach to protect systems that host the Services and Data. Qualtrics employs a web application firewall for protection against DDoS and web application attacks. Any detected attack—including application-layer DDoS, SQL injection and XSS—will be thwarted, and traffic will be dropped or rerouted, so downtime is minimal</t>
  </si>
  <si>
    <t>Qualtrics provides tools for customers to use to validate their input data. Validation is the responsibility of the customer</t>
  </si>
  <si>
    <t>https://aws.amazon.com/compliance/</t>
  </si>
  <si>
    <t>IU: see IU Data Management https://datamanagement.iu.edu/index.html
See Qualtrics HECVAT 2025 for more details: https://bcsse.iu.edu/doc/bcsse/Qualtrics%20HECVAT%202025.xlsx</t>
  </si>
  <si>
    <t>NSSE Shorts as a project does not. see IU Data Management https://datamanagement.iu.edu/index.html
See Qualtrics HECVAT 2025 for more details: https://bcsse.iu.edu/doc/bcsse/Qualtrics%20HECVAT%202025.xlsx</t>
  </si>
  <si>
    <t>Yes, IU carries cyber risk insurance.
Qualtrics cyber insurance can be found here: http://www.qualtrics.com/evidence-of-insurance</t>
  </si>
  <si>
    <t>https://www.qualtrics.com/commitment-to-accessibility/</t>
  </si>
  <si>
    <t>NSSE Shorts will make every effort to comply with WCAG 2.1 AA standards. See Qualtrics HECVAT 2025 for more details: https://bcsse.iu.edu/doc/bcsse/Qualtrics%20HECVAT%202025.xlsx</t>
  </si>
  <si>
    <t>NSSE Shorts will make every effort to comply with WCAG 2.1 AA standards. See Qualtrics https://www.qualtrics.com/commitment-to-accessibility/</t>
  </si>
  <si>
    <t>NSSE Shorts as a project no. See Qualtrics HECVAT 2025 for more details: https://bcsse.iu.edu/doc/bcsse/Qualtrics%20HECVAT%202025.xlsx</t>
  </si>
  <si>
    <t>NSSE Shorts survey is reviewed for WCAG 2.1 AA compliance. See Qualtrics HECVAT 2025 for more details: https://bcsse.iu.edu/doc/bcsse/Qualtrics%20HECVAT%202025.xlsx</t>
  </si>
  <si>
    <t>NSSE Shorts uses Qualtrics survey and dashboard products; all data and reports accessed by institutions is via the Qualtrics dashboard</t>
  </si>
  <si>
    <t>NSSE Shorts does not collect any personally identifiable student data. Institutions requesting student specific links are required to provide masked student IDs. See "Survey Administration Options" https://nsse.indiana.edu/nsse/nsse-shorts/NSSE-Shorts-Administration-Instructions.html</t>
  </si>
  <si>
    <t>NSSE Shorts will make every attempt to comply with institutional policies regarding privacy and data protection. Also see Managing IU Data: https://datamanagement.iu.edu/index.html
Qualtrics HECVAT 2025 for details regarding Qualtrics documentation: https://bcsse.iu.edu/doc/bcsse/Qualtrics%20HECVAT%202025.xlsx</t>
  </si>
  <si>
    <t>All NSSE Shorts staff are employees of Indiana University and subject to background screening as required by the university. Also see Qualtrics HECVAT 2025 for more details: https://bcsse.iu.edu/doc/bcsse/Qualtrics%20HECVAT%202025.xlsx</t>
  </si>
  <si>
    <t>All institutional data are logically segmented by UNITID (institutional IPEDS number), user, and survey ID, as well as hidden behind the user's login credentials. An institutional user can only access data and reports associated with their institution</t>
  </si>
  <si>
    <t>Security and systems administration are separated by role. Users are assigned privileges based on their role and under the principle of least privileged access.</t>
  </si>
  <si>
    <t>Oct 17 2025</t>
  </si>
  <si>
    <t>Details of our approach are available here - https://www.qualtrics.com/commitment-to-accessibility/
NSSE Shorts VPAT: https://nsse.indiana.edu/nsse/nsse-shorts/NSSE-Shorts-Administration-Instructions.html</t>
  </si>
  <si>
    <t>NSSE Shorts VPAT: https://nsse.indiana.edu/nsse/nsse-shorts/NSSE-Shorts-Administration-Instructions.html</t>
  </si>
  <si>
    <t>Also, see Qualtrics HECVAT 2025 for more details: https://bcsse.iu.edu/doc/bcsse/Qualtrics%20HECVAT%202025.xlsx</t>
  </si>
  <si>
    <t>NSSE Shorts as part of the larger NSSE project and Indiana University, is required to undergo privacy training on a regular basis. See https://research.iu.edu/training/citi/index.html
Also, see Qualtrics HECVAT 2025 for more details: https://bcsse.iu.edu/doc/bcsse/Qualtrics%20HECVAT%202025.xlsx</t>
  </si>
  <si>
    <t>NSSE Shorts as part of the larger NSSE project and Indiana University, has required onboarding training regarding data security policies and practices. Research staff who leave are immediately removed from any access to research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</si>
</sst>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2"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0"/>
        <bgColor theme="0"/>
      </patternFill>
    </fill>
    <fill>
      <patternFill patternType="solid">
        <fgColor rgb="FFFFFFFF"/>
        <bgColor rgb="FFFFFFFF"/>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73">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7"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5" fillId="0" borderId="0" xfId="0" applyFont="1" applyAlignment="1">
      <alignment horizontal="center" vertical="center" wrapText="1"/>
    </xf>
    <xf numFmtId="0" fontId="23"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3"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3"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3" fillId="0" borderId="4" xfId="3" applyBorder="1" applyAlignment="1">
      <alignment vertical="center" wrapText="1"/>
    </xf>
    <xf numFmtId="0" fontId="23" fillId="0" borderId="21" xfId="3" applyBorder="1" applyAlignment="1">
      <alignment vertical="center" wrapText="1"/>
    </xf>
    <xf numFmtId="0" fontId="23" fillId="0" borderId="6" xfId="3" applyBorder="1" applyAlignment="1">
      <alignment vertical="center" wrapText="1"/>
    </xf>
    <xf numFmtId="0" fontId="23" fillId="0" borderId="36"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6" fillId="3" borderId="5" xfId="2" applyNumberFormat="1" applyFill="1" applyBorder="1" applyAlignment="1">
      <alignment horizontal="center" vertical="center"/>
    </xf>
    <xf numFmtId="0" fontId="38" fillId="3" borderId="5"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3"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8" fillId="15" borderId="0" xfId="1" applyFont="1" applyFill="1" applyAlignment="1">
      <alignment horizontal="center" vertical="center" wrapText="1"/>
    </xf>
    <xf numFmtId="0" fontId="39" fillId="0" borderId="11" xfId="0" applyFont="1" applyFill="1" applyBorder="1">
      <alignment vertical="top" wrapText="1"/>
    </xf>
    <xf numFmtId="0" fontId="39" fillId="0" borderId="27" xfId="0" applyFont="1" applyBorder="1">
      <alignment vertical="top" wrapText="1"/>
    </xf>
    <xf numFmtId="0" fontId="39"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3" fillId="3" borderId="10" xfId="3" applyFill="1" applyBorder="1">
      <alignment vertical="top" wrapText="1"/>
    </xf>
    <xf numFmtId="1" fontId="41"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0" xfId="0" applyFont="1" applyFill="1" applyBorder="1" applyAlignment="1">
      <alignment horizontal="center" vertical="center" wrapText="1"/>
    </xf>
    <xf numFmtId="0" fontId="23" fillId="22" borderId="8" xfId="0" applyFont="1" applyFill="1" applyBorder="1" applyAlignment="1">
      <alignment vertical="center" wrapText="1"/>
    </xf>
    <xf numFmtId="0" fontId="44" fillId="21" borderId="11" xfId="0" applyFont="1" applyFill="1" applyBorder="1" applyAlignment="1">
      <alignment horizontal="center" vertical="center" wrapText="1"/>
    </xf>
    <xf numFmtId="0" fontId="46" fillId="22" borderId="11" xfId="0" applyNumberFormat="1"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23" fillId="22" borderId="16" xfId="0" applyFont="1" applyFill="1" applyBorder="1" applyAlignment="1">
      <alignment vertical="center" wrapText="1"/>
    </xf>
    <xf numFmtId="0" fontId="23" fillId="22" borderId="50" xfId="0" applyFont="1" applyFill="1" applyBorder="1" applyAlignment="1">
      <alignment vertical="center" wrapText="1"/>
    </xf>
    <xf numFmtId="0" fontId="23" fillId="22" borderId="25" xfId="0" applyFont="1" applyFill="1" applyBorder="1" applyAlignment="1">
      <alignment vertical="center" wrapText="1"/>
    </xf>
    <xf numFmtId="0" fontId="23"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4" fillId="21" borderId="22" xfId="0" applyFont="1" applyFill="1" applyBorder="1" applyAlignment="1">
      <alignment horizontal="center" vertical="center" wrapText="1"/>
    </xf>
    <xf numFmtId="0" fontId="23" fillId="22" borderId="8" xfId="0" applyFont="1" applyFill="1" applyBorder="1">
      <alignment vertical="top" wrapText="1"/>
    </xf>
    <xf numFmtId="0" fontId="44" fillId="21" borderId="32" xfId="0" applyFont="1" applyFill="1" applyBorder="1" applyAlignment="1">
      <alignment horizontal="center" vertical="center" wrapText="1"/>
    </xf>
    <xf numFmtId="0" fontId="44" fillId="21" borderId="52" xfId="0" applyFont="1" applyFill="1" applyBorder="1" applyAlignment="1">
      <alignment horizontal="center" vertical="center" wrapText="1"/>
    </xf>
    <xf numFmtId="0" fontId="23" fillId="22" borderId="14"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4" xfId="0" applyNumberFormat="1" applyFont="1" applyFill="1" applyBorder="1" applyAlignment="1">
      <alignment horizontal="center" vertical="center"/>
    </xf>
    <xf numFmtId="0" fontId="48" fillId="21" borderId="35"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4"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8" fillId="23" borderId="5" xfId="2" applyNumberFormat="1" applyFont="1" applyFill="1" applyBorder="1" applyAlignment="1">
      <alignment horizontal="center" vertical="center"/>
    </xf>
    <xf numFmtId="165" fontId="26" fillId="0" borderId="21" xfId="2" applyNumberFormat="1" applyBorder="1" applyAlignment="1">
      <alignment horizontal="left" vertical="center"/>
    </xf>
    <xf numFmtId="165" fontId="26" fillId="0" borderId="4" xfId="2" applyNumberFormat="1" applyBorder="1" applyAlignment="1">
      <alignment horizontal="left" vertical="center"/>
    </xf>
    <xf numFmtId="165" fontId="26"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9" xfId="2" applyNumberFormat="1" applyFill="1" applyBorder="1" applyAlignment="1">
      <alignment vertical="center"/>
    </xf>
    <xf numFmtId="0" fontId="19" fillId="3" borderId="5"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8" xfId="3" applyFont="1" applyBorder="1" applyAlignment="1">
      <alignment horizontal="left" vertical="center" wrapText="1"/>
    </xf>
    <xf numFmtId="0" fontId="23"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3"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7"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33" fillId="0" borderId="4" xfId="0" applyFont="1" applyBorder="1" applyAlignment="1">
      <alignment horizontal="left" vertical="center"/>
    </xf>
    <xf numFmtId="0" fontId="20" fillId="3" borderId="5"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5"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5" xfId="2" applyNumberFormat="1" applyFont="1" applyFill="1" applyBorder="1" applyAlignment="1">
      <alignment horizontal="left" vertical="center"/>
    </xf>
    <xf numFmtId="0" fontId="47" fillId="3" borderId="5" xfId="0" applyNumberFormat="1" applyFont="1" applyFill="1" applyBorder="1" applyAlignment="1">
      <alignment horizontal="center" vertical="center"/>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1"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7" fillId="0" borderId="3" xfId="0" applyFont="1" applyBorder="1">
      <alignment vertical="top" wrapText="1"/>
    </xf>
    <xf numFmtId="0" fontId="37" fillId="0" borderId="3" xfId="0" applyFont="1" applyBorder="1" applyAlignment="1">
      <alignment horizontal="right" vertical="top" wrapText="1"/>
    </xf>
    <xf numFmtId="0" fontId="60" fillId="0" borderId="3" xfId="0" applyFont="1" applyBorder="1">
      <alignment vertical="top" wrapText="1"/>
    </xf>
    <xf numFmtId="0" fontId="37" fillId="0" borderId="3" xfId="0" applyFont="1" applyBorder="1" applyAlignment="1">
      <alignment vertical="center"/>
    </xf>
    <xf numFmtId="0" fontId="37" fillId="0" borderId="3" xfId="0" applyFont="1" applyBorder="1" applyAlignment="1">
      <alignment wrapText="1"/>
    </xf>
    <xf numFmtId="0" fontId="60" fillId="0" borderId="3" xfId="0" applyFont="1" applyBorder="1" applyAlignment="1">
      <alignment wrapText="1"/>
    </xf>
    <xf numFmtId="0" fontId="61" fillId="0" borderId="3" xfId="0" applyFont="1" applyBorder="1" applyAlignment="1">
      <alignment wrapText="1"/>
    </xf>
    <xf numFmtId="0" fontId="10" fillId="0" borderId="0" xfId="0" applyFont="1">
      <alignment vertical="top" wrapText="1"/>
    </xf>
    <xf numFmtId="0" fontId="16" fillId="25" borderId="59" xfId="0" applyFont="1" applyFill="1" applyBorder="1" applyAlignment="1">
      <alignment horizontal="center" vertical="center" wrapText="1"/>
    </xf>
    <xf numFmtId="0" fontId="16" fillId="0" borderId="60" xfId="0" applyFont="1" applyBorder="1" applyAlignment="1">
      <alignment vertical="center" wrapText="1"/>
    </xf>
    <xf numFmtId="1" fontId="7" fillId="25" borderId="59" xfId="0" applyNumberFormat="1" applyFont="1" applyFill="1" applyBorder="1" applyAlignment="1">
      <alignment vertical="center" wrapText="1"/>
    </xf>
    <xf numFmtId="0" fontId="7" fillId="26" borderId="59" xfId="0" applyFont="1" applyFill="1" applyBorder="1" applyAlignment="1">
      <alignment vertical="center" wrapText="1"/>
    </xf>
    <xf numFmtId="0" fontId="16" fillId="0" borderId="59" xfId="0" applyFont="1" applyBorder="1" applyAlignment="1">
      <alignment vertical="center" wrapText="1"/>
    </xf>
    <xf numFmtId="0" fontId="26" fillId="0" borderId="60" xfId="0" applyFont="1" applyBorder="1" applyAlignment="1">
      <alignment vertical="center" wrapText="1"/>
    </xf>
    <xf numFmtId="0" fontId="26" fillId="0" borderId="56" xfId="0" applyFont="1" applyBorder="1" applyAlignment="1">
      <alignment horizontal="left" vertical="center"/>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60" xfId="0" applyFont="1" applyFill="1" applyBorder="1" applyAlignment="1">
      <alignment vertical="center" wrapText="1"/>
    </xf>
    <xf numFmtId="0" fontId="49" fillId="0" borderId="3" xfId="0" applyFont="1" applyBorder="1" applyAlignment="1">
      <alignment horizontal="left" vertical="center" wrapText="1"/>
    </xf>
    <xf numFmtId="0" fontId="54" fillId="0" borderId="56" xfId="0" applyFont="1" applyBorder="1" applyAlignment="1">
      <alignment horizontal="left" vertical="center" wrapText="1"/>
    </xf>
    <xf numFmtId="0" fontId="54" fillId="0" borderId="57" xfId="0" applyFont="1" applyBorder="1" applyAlignment="1">
      <alignment horizontal="left" vertical="center" wrapText="1"/>
    </xf>
    <xf numFmtId="0" fontId="54" fillId="0" borderId="58" xfId="0" applyFont="1" applyBorder="1" applyAlignment="1">
      <alignment horizontal="left" vertical="center" wrapText="1"/>
    </xf>
    <xf numFmtId="0" fontId="54" fillId="0" borderId="3" xfId="0" applyFont="1" applyBorder="1" applyAlignment="1">
      <alignment horizontal="left" vertical="center" wrapText="1"/>
    </xf>
    <xf numFmtId="0" fontId="26" fillId="0" borderId="3" xfId="2" applyBorder="1" applyAlignment="1">
      <alignment horizontal="left" vertical="center" wrapText="1"/>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sseshrt@iu.edu"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ws.amazon.com/compliance/" TargetMode="External"/><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qualtrics.com/commitment-to-accessibility/"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3" sqref="A3"/>
    </sheetView>
  </sheetViews>
  <sheetFormatPr defaultColWidth="0" defaultRowHeight="0" customHeight="1" zeroHeight="1" x14ac:dyDescent="0.2"/>
  <cols>
    <col min="1" max="1" width="8.296875" customWidth="1"/>
    <col min="2" max="2" width="55.09765625" style="1" customWidth="1"/>
    <col min="3" max="3" width="18.8984375" style="8" bestFit="1" customWidth="1"/>
    <col min="4" max="4" width="55.69921875" style="9" customWidth="1"/>
    <col min="5" max="5" width="32" style="10" customWidth="1"/>
    <col min="6" max="6" width="30.69921875" style="1" customWidth="1"/>
    <col min="7" max="7" width="18.09765625" style="1" customWidth="1"/>
    <col min="8" max="8" width="16.59765625" style="1" hidden="1" customWidth="1"/>
    <col min="9" max="9" width="18.09765625" style="36" hidden="1" customWidth="1"/>
    <col min="10" max="10" width="18.09765625" style="1" hidden="1" customWidth="1"/>
    <col min="11" max="11" width="4.5" style="1" hidden="1" customWidth="1"/>
    <col min="12" max="12" width="6.59765625" style="1" hidden="1" customWidth="1"/>
    <col min="13" max="16384" width="6.59765625" hidden="1"/>
  </cols>
  <sheetData>
    <row r="1" spans="1:9" ht="0" hidden="1" customHeight="1" x14ac:dyDescent="0.2">
      <c r="A1" t="s">
        <v>1504</v>
      </c>
    </row>
    <row r="2" spans="1:9" ht="36" customHeight="1" x14ac:dyDescent="0.2">
      <c r="A2" s="274" t="s">
        <v>1574</v>
      </c>
      <c r="B2" s="274"/>
      <c r="C2" s="275"/>
      <c r="D2" s="323"/>
      <c r="E2" s="276"/>
      <c r="F2" s="276" t="str">
        <f>'Auto Responses'!$A$36</f>
        <v>Version 4.1.2</v>
      </c>
    </row>
    <row r="3" spans="1:9" s="1" customFormat="1" ht="29.1" customHeight="1" x14ac:dyDescent="0.2">
      <c r="A3" s="277" t="s">
        <v>975</v>
      </c>
      <c r="B3" s="278"/>
      <c r="C3" s="338" t="s">
        <v>1823</v>
      </c>
      <c r="D3" s="324"/>
      <c r="E3" s="279"/>
      <c r="F3" s="280"/>
      <c r="I3" s="36"/>
    </row>
    <row r="4" spans="1:9" s="1" customFormat="1" ht="36" customHeight="1" x14ac:dyDescent="0.2">
      <c r="A4" s="281" t="s">
        <v>900</v>
      </c>
      <c r="B4" s="282"/>
      <c r="C4" s="283"/>
      <c r="D4" s="284"/>
      <c r="E4" s="285"/>
      <c r="F4" s="285"/>
      <c r="I4" s="36"/>
    </row>
    <row r="5" spans="1:9" s="1" customFormat="1" ht="19.5" customHeight="1" x14ac:dyDescent="0.2">
      <c r="A5" s="286" t="str">
        <f>HLOOKUP($A$4,'Auto Responses'!$D$2:$D$8,2,0)&amp;""</f>
        <v>1. Complete the "Start Here" tab and review the "Required Questions" guidance to find the other sections are required for your product or service.</v>
      </c>
      <c r="B5" s="287"/>
      <c r="C5" s="288"/>
      <c r="D5" s="325"/>
      <c r="E5" s="287"/>
      <c r="F5" s="289"/>
      <c r="I5" s="36"/>
    </row>
    <row r="6" spans="1:9" s="1" customFormat="1" ht="19.5" customHeight="1" x14ac:dyDescent="0.2">
      <c r="A6" s="286" t="str">
        <f>HLOOKUP($A$4,'Auto Responses'!$D$2:$D$8,3,0)&amp;""</f>
        <v>2. Complete the "Organization" tab and the applicable questions in each of the next 5 tabs (Product through Privacy) that apply, based on your answers to the "Required Questions."</v>
      </c>
      <c r="B6" s="287"/>
      <c r="C6" s="288"/>
      <c r="D6" s="325"/>
      <c r="E6" s="287"/>
      <c r="F6" s="290"/>
      <c r="I6" s="36"/>
    </row>
    <row r="7" spans="1:9" s="1" customFormat="1" ht="19.5" customHeight="1" x14ac:dyDescent="0.2">
      <c r="A7" s="286" t="str">
        <f>HLOOKUP($A$4,'Auto Responses'!$D$2:$D$8,4,0)&amp;""</f>
        <v xml:space="preserve">3. Guidance in column E may change based on your answers to prompt details in "Additional Information." If leaving an answer blank, you must also state why in "Additional Information". </v>
      </c>
      <c r="B7" s="287"/>
      <c r="C7" s="288"/>
      <c r="D7" s="325"/>
      <c r="E7" s="287"/>
      <c r="F7" s="290"/>
      <c r="I7" s="36"/>
    </row>
    <row r="8" spans="1:9" s="1" customFormat="1" ht="19.5" customHeight="1" x14ac:dyDescent="0.2">
      <c r="A8" s="286" t="str">
        <f>HLOOKUP($A$4,'Auto Responses'!$D$2:$D$8,5,0)&amp;""</f>
        <v>4. DO NOT complete any fields in the "Evaluation" sheets or the "Analyst Notes" column.</v>
      </c>
      <c r="B8" s="287"/>
      <c r="C8" s="288"/>
      <c r="D8" s="325"/>
      <c r="E8" s="287"/>
      <c r="F8" s="290"/>
      <c r="I8" s="36"/>
    </row>
    <row r="9" spans="1:9" s="1" customFormat="1" ht="19.5" customHeight="1" x14ac:dyDescent="0.2">
      <c r="A9" s="286" t="str">
        <f>HLOOKUP($A$4,'Auto Responses'!$D$2:$D$8,6,0)&amp;""</f>
        <v>5. Return the completed file to institutions.</v>
      </c>
      <c r="B9" s="287"/>
      <c r="C9" s="288"/>
      <c r="D9" s="325"/>
      <c r="E9" s="287"/>
      <c r="F9" s="290"/>
      <c r="I9" s="36"/>
    </row>
    <row r="10" spans="1:9" s="1" customFormat="1" ht="19.5" customHeight="1" x14ac:dyDescent="0.2">
      <c r="A10" s="291" t="str">
        <f>HLOOKUP($A$4,'Auto Responses'!$D$2:$D$8,7,0)&amp;""</f>
        <v>* Denotes critical questions. Critical questions are those deemed most important to institutions by higher education volunteers.</v>
      </c>
      <c r="B10" s="287"/>
      <c r="C10" s="288"/>
      <c r="D10" s="325"/>
      <c r="E10" s="287"/>
      <c r="F10" s="290"/>
      <c r="I10" s="36"/>
    </row>
    <row r="11" spans="1:9" s="1" customFormat="1" ht="19.5" customHeight="1" x14ac:dyDescent="0.2">
      <c r="A11" s="292" t="str">
        <f>HLOOKUP($A$4,'Auto Responses'!$D$2:$D$9,8,0)&amp;""</f>
        <v>For full instructions, please visit educause.edu/HECVAT</v>
      </c>
      <c r="B11" s="287"/>
      <c r="C11" s="288"/>
      <c r="D11" s="325"/>
      <c r="E11" s="287"/>
      <c r="F11" s="293"/>
      <c r="I11" s="36"/>
    </row>
    <row r="12" spans="1:9" s="1" customFormat="1" ht="36" customHeight="1" x14ac:dyDescent="0.2">
      <c r="A12" s="294" t="str">
        <f>VLOOKUP(LEFT($A13,4),'Auto Responses'!$N$4:$O$38,2,0)&amp;""</f>
        <v xml:space="preserve"> General Information</v>
      </c>
      <c r="B12" s="282"/>
      <c r="C12" s="295"/>
      <c r="D12" s="326"/>
      <c r="E12" s="296"/>
      <c r="F12" s="296"/>
      <c r="I12" s="36"/>
    </row>
    <row r="13" spans="1:9" s="1" customFormat="1" ht="22.35" customHeight="1" x14ac:dyDescent="0.2">
      <c r="A13" s="19" t="s">
        <v>21</v>
      </c>
      <c r="B13" s="20" t="str">
        <f>VLOOKUP($A13,Questions!$A$2:$X$333,2,0)&amp;""</f>
        <v>Solution Provider Name</v>
      </c>
      <c r="C13" s="367" t="s">
        <v>1773</v>
      </c>
      <c r="D13" s="368"/>
      <c r="E13" s="369"/>
      <c r="F13" s="51"/>
      <c r="I13" s="36"/>
    </row>
    <row r="14" spans="1:9" s="1" customFormat="1" ht="22.35" customHeight="1" x14ac:dyDescent="0.2">
      <c r="A14" s="19" t="s">
        <v>24</v>
      </c>
      <c r="B14" s="20" t="str">
        <f>VLOOKUP($A14,Questions!$A$2:$X$333,2,0)&amp;""</f>
        <v>Solution Name</v>
      </c>
      <c r="C14" s="370" t="s">
        <v>1774</v>
      </c>
      <c r="D14" s="370"/>
      <c r="E14" s="370"/>
      <c r="F14" s="51"/>
      <c r="I14" s="36"/>
    </row>
    <row r="15" spans="1:9" s="1" customFormat="1" ht="22.35" customHeight="1" x14ac:dyDescent="0.2">
      <c r="A15" s="19" t="s">
        <v>25</v>
      </c>
      <c r="B15" s="20" t="str">
        <f>VLOOKUP($A15,Questions!$A$2:$X$333,2,0)&amp;""</f>
        <v>Solution Description</v>
      </c>
      <c r="C15" s="370" t="s">
        <v>1776</v>
      </c>
      <c r="D15" s="370"/>
      <c r="E15" s="370"/>
      <c r="F15" s="51"/>
      <c r="I15" s="36"/>
    </row>
    <row r="16" spans="1:9" s="1" customFormat="1" ht="22.35" customHeight="1" x14ac:dyDescent="0.2">
      <c r="A16" s="19" t="s">
        <v>26</v>
      </c>
      <c r="B16" s="20" t="str">
        <f>VLOOKUP($A16,Questions!$A$2:$X$333,2,0)&amp;""</f>
        <v>Solution Provider Contact Name</v>
      </c>
      <c r="C16" s="366" t="s">
        <v>1775</v>
      </c>
      <c r="D16" s="366"/>
      <c r="E16" s="366"/>
      <c r="F16" s="51"/>
      <c r="I16" s="36"/>
    </row>
    <row r="17" spans="1:9" s="1" customFormat="1" ht="22.35" customHeight="1" x14ac:dyDescent="0.2">
      <c r="A17" s="19" t="s">
        <v>27</v>
      </c>
      <c r="B17" s="20" t="str">
        <f>VLOOKUP($A17,Questions!$A$2:$X$333,2,0)&amp;""</f>
        <v>Solution Provider Contact Title</v>
      </c>
      <c r="C17" s="366" t="s">
        <v>1777</v>
      </c>
      <c r="D17" s="366"/>
      <c r="E17" s="366"/>
      <c r="F17" s="51"/>
      <c r="I17" s="36"/>
    </row>
    <row r="18" spans="1:9" s="1" customFormat="1" ht="22.35" customHeight="1" x14ac:dyDescent="0.2">
      <c r="A18" s="19" t="s">
        <v>28</v>
      </c>
      <c r="B18" s="20" t="str">
        <f>VLOOKUP($A18,Questions!$A$2:$X$333,2,0)&amp;""</f>
        <v>Solution Provider Contact Email</v>
      </c>
      <c r="C18" s="371" t="s">
        <v>1778</v>
      </c>
      <c r="D18" s="366"/>
      <c r="E18" s="366"/>
      <c r="F18" s="51"/>
      <c r="I18" s="36"/>
    </row>
    <row r="19" spans="1:9" s="1" customFormat="1" ht="22.35" customHeight="1" x14ac:dyDescent="0.2">
      <c r="A19" s="19" t="s">
        <v>29</v>
      </c>
      <c r="B19" s="20" t="str">
        <f>VLOOKUP($A19,Questions!$A$2:$X$333,2,0)&amp;""</f>
        <v>Solution Provider Contact Phone Number</v>
      </c>
      <c r="C19" s="366" t="s">
        <v>1779</v>
      </c>
      <c r="D19" s="366"/>
      <c r="E19" s="366"/>
      <c r="F19" s="51"/>
      <c r="I19" s="36"/>
    </row>
    <row r="20" spans="1:9" s="1" customFormat="1" ht="22.35" customHeight="1" x14ac:dyDescent="0.2">
      <c r="A20" s="19" t="s">
        <v>30</v>
      </c>
      <c r="B20" s="20" t="str">
        <f>VLOOKUP($A20,Questions!$A$2:$X$333,2,0)&amp;""</f>
        <v>Country of Company Headquarters</v>
      </c>
      <c r="C20" s="366" t="s">
        <v>1780</v>
      </c>
      <c r="D20" s="366"/>
      <c r="E20" s="366"/>
      <c r="F20" s="51"/>
      <c r="I20" s="36"/>
    </row>
    <row r="21" spans="1:9" s="1" customFormat="1" ht="22.35" customHeight="1" x14ac:dyDescent="0.2">
      <c r="A21" s="19" t="s">
        <v>32</v>
      </c>
      <c r="B21" s="20" t="str">
        <f>VLOOKUP($A21,Questions!$A$2:$X$333,2,0)&amp;""</f>
        <v>Employee Work Locations (all)</v>
      </c>
      <c r="C21" s="77"/>
      <c r="D21" s="33"/>
      <c r="E21" s="34"/>
      <c r="F21" s="51"/>
      <c r="I21" s="36"/>
    </row>
    <row r="22" spans="1:9" s="1" customFormat="1" ht="37.35" customHeight="1" thickBot="1" x14ac:dyDescent="0.25">
      <c r="A22" s="64" t="str">
        <f>VLOOKUP(LEFT($A23,4),'Auto Responses'!$N$4:$O$38,2,0)&amp;""</f>
        <v xml:space="preserve"> Company Information</v>
      </c>
      <c r="B22" s="23"/>
      <c r="C22" s="13" t="s">
        <v>1555</v>
      </c>
      <c r="D22" s="13" t="s">
        <v>72</v>
      </c>
      <c r="E22" s="32" t="s">
        <v>883</v>
      </c>
      <c r="F22" s="201" t="s">
        <v>884</v>
      </c>
      <c r="I22" s="36"/>
    </row>
    <row r="23" spans="1:9" s="1" customFormat="1" ht="55.5" customHeight="1" x14ac:dyDescent="0.2">
      <c r="A23" s="19" t="s">
        <v>35</v>
      </c>
      <c r="B23" s="18" t="str">
        <f>VLOOKUP($A23,Questions!$A$2:$X$333,2,0)&amp;""</f>
        <v>Do you have a dedicated software and system development team(s) (e.g., customer support, implementation, product management, etc.)?*</v>
      </c>
      <c r="C23" s="21" t="s">
        <v>40</v>
      </c>
      <c r="D23" s="314" t="s">
        <v>1781</v>
      </c>
      <c r="E23" s="168" t="str">
        <f>IF($C23="Yes",VLOOKUP($A23,Questions!$A$2:$X$333,17,0)&amp;"",IF($C23="No",VLOOKUP($A23,Questions!$A$2:$X$333,16,0)&amp;"",VLOOKUP($A23,Questions!$A$2:$X$333,15,0)&amp;""))</f>
        <v>Describe the structure and size of your software and system development teams. (e.g., customer support, implementation, product management, etc.).</v>
      </c>
      <c r="F23" s="202" t="str">
        <f>VLOOKUP($A23,'Institution Evaluation'!$A$56:$F$346,6,0)&amp;""</f>
        <v/>
      </c>
      <c r="I23" s="36"/>
    </row>
    <row r="24" spans="1:9" s="1" customFormat="1" ht="153.75" customHeight="1" x14ac:dyDescent="0.2">
      <c r="A24" s="19" t="s">
        <v>42</v>
      </c>
      <c r="B24" s="18" t="str">
        <f>VLOOKUP($A24,Questions!$A$2:$X$333,2,0)&amp;""</f>
        <v>Describe your organization’s business background and ownership structure, including all parent and subsidiary relationships.</v>
      </c>
      <c r="C24" s="363" t="s">
        <v>1782</v>
      </c>
      <c r="D24" s="314"/>
      <c r="E24" s="168" t="str">
        <f>IF($C24="Yes",VLOOKUP($A24,Questions!$A$2:$X$333,17,0)&amp;"",IF($C24="No",VLOOKUP($A24,Questions!$A$2:$X$333,16,0)&amp;"",VLOOKUP($A24,Questions!$A$2:$X$333,15,0)&amp;""))</f>
        <v>Include circumstances that may involve offshoring or multinational agreements.</v>
      </c>
      <c r="F24" s="202" t="str">
        <f>VLOOKUP($A24,'Institution Evaluation'!$A$56:$F$346,6,0)&amp;""</f>
        <v/>
      </c>
      <c r="I24" s="36"/>
    </row>
    <row r="25" spans="1:9" s="1" customFormat="1" ht="39.75" customHeight="1" x14ac:dyDescent="0.2">
      <c r="A25" s="19" t="s">
        <v>44</v>
      </c>
      <c r="B25" s="18" t="str">
        <f>VLOOKUP($A25,Questions!$A$2:$X$333,2,0)&amp;""</f>
        <v>Have you operated without unplanned disruptions to this solution in the past 12 months?</v>
      </c>
      <c r="C25" s="21" t="s">
        <v>40</v>
      </c>
      <c r="D25" s="314"/>
      <c r="E25" s="168" t="str">
        <f>IF($C25="Yes",VLOOKUP($A25,Questions!$A$2:$X$333,17,0)&amp;"",IF($C25="No",VLOOKUP($A25,Questions!$A$2:$X$333,16,0)&amp;"",VLOOKUP($A25,Questions!$A$2:$X$333,15,0)&amp;""))</f>
        <v/>
      </c>
      <c r="F25" s="202" t="str">
        <f>VLOOKUP($A25,'Institution Evaluation'!$A$56:$F$346,6,0)&amp;""</f>
        <v/>
      </c>
      <c r="I25" s="36"/>
    </row>
    <row r="26" spans="1:9" s="1" customFormat="1" ht="49.5" customHeight="1" x14ac:dyDescent="0.2">
      <c r="A26" s="19" t="s">
        <v>45</v>
      </c>
      <c r="B26" s="18" t="str">
        <f>VLOOKUP($A26,Questions!$A$2:$X$333,2,0)&amp;""</f>
        <v>Do you have a dedicated information security staff or office?</v>
      </c>
      <c r="C26" s="21" t="s">
        <v>40</v>
      </c>
      <c r="D26" s="314" t="s">
        <v>1781</v>
      </c>
      <c r="E26" s="168" t="str">
        <f>IF($C26="Yes",VLOOKUP($A26,Questions!$A$2:$X$333,17,0)&amp;"",IF($C26="No",VLOOKUP($A26,Questions!$A$2:$X$333,16,0)&amp;"",VLOOKUP($A26,Questions!$A$2:$X$333,15,0)&amp;""))</f>
        <v>Describe your information security office, including size, talents, resources, etc.</v>
      </c>
      <c r="F26" s="202" t="str">
        <f>VLOOKUP($A26,'Institution Evaluation'!$A$56:$F$346,6,0)&amp;""</f>
        <v/>
      </c>
      <c r="I26" s="36"/>
    </row>
    <row r="27" spans="1:9" s="1" customFormat="1" ht="125.25" customHeight="1" thickBot="1" x14ac:dyDescent="0.25">
      <c r="A27" s="19" t="s">
        <v>47</v>
      </c>
      <c r="B27" s="18" t="str">
        <f>VLOOKUP($A27,Questions!$A$2:$X$333,2,0)&amp;""</f>
        <v>Use this area to share information about your environment that will assist those who are assessing your company's data security program.</v>
      </c>
      <c r="C27" s="364" t="s">
        <v>1817</v>
      </c>
      <c r="D27" s="314" t="s">
        <v>1783</v>
      </c>
      <c r="E27" s="168" t="str">
        <f>IF($C27="Yes",VLOOKUP($A27,Questions!$A$2:$X$333,17,0)&amp;"",IF($C27="No",VLOOKUP($A27,Questions!$A$2:$X$333,16,0)&amp;"",VLOOKUP($A27,Questions!$A$2:$X$333,15,0)&amp;""))</f>
        <v>Share any details that would help information security analysts assess your solution.</v>
      </c>
      <c r="F27" s="202" t="str">
        <f>VLOOKUP($A27,'Institution Evaluation'!$A$56:$F$346,6,0)&amp;""</f>
        <v/>
      </c>
      <c r="G27" s="239" t="s">
        <v>1505</v>
      </c>
      <c r="I27" s="36"/>
    </row>
    <row r="28" spans="1:9" s="1" customFormat="1" ht="37.35" customHeight="1" thickBot="1" x14ac:dyDescent="0.25">
      <c r="A28" s="64" t="str">
        <f>VLOOKUP(LEFT($A29,4),'Auto Responses'!$N$4:$O$38,2,0)&amp;""</f>
        <v xml:space="preserve"> Required Questions</v>
      </c>
      <c r="B28" s="23"/>
      <c r="C28" s="13" t="s">
        <v>1555</v>
      </c>
      <c r="D28" s="13" t="s">
        <v>72</v>
      </c>
      <c r="E28" s="32" t="s">
        <v>883</v>
      </c>
      <c r="F28" s="188" t="s">
        <v>884</v>
      </c>
      <c r="I28" s="36"/>
    </row>
    <row r="29" spans="1:9" s="1" customFormat="1" ht="48" customHeight="1" x14ac:dyDescent="0.2">
      <c r="A29" s="19" t="s">
        <v>48</v>
      </c>
      <c r="B29" s="18" t="str">
        <f>VLOOKUP($A29,Questions!$A$2:$X$333,2,0)&amp;""</f>
        <v>Are you offering a cloud-based product?</v>
      </c>
      <c r="C29" s="21" t="s">
        <v>40</v>
      </c>
      <c r="D29" s="314" t="s">
        <v>1783</v>
      </c>
      <c r="E29" s="168" t="str">
        <f>IF($C29="Yes",VLOOKUP($A29,Questions!$A$2:$X$333,17,0)&amp;"",IF($C29="No",VLOOKUP($A29,Questions!$A$2:$X$333,16,0)&amp;"",VLOOKUP($A29,Questions!$A$2:$X$333,15,0)&amp;""))</f>
        <v>DO complete the Product and Infrastructure worksheets</v>
      </c>
      <c r="F29" s="202" t="str">
        <f>VLOOKUP($A29,'Institution Evaluation'!$A$56:$F$346,6,0)&amp;""</f>
        <v/>
      </c>
      <c r="I29" s="36"/>
    </row>
    <row r="30" spans="1:9" s="1" customFormat="1" ht="58.5" customHeight="1" x14ac:dyDescent="0.2">
      <c r="A30" s="19" t="s">
        <v>51</v>
      </c>
      <c r="B30" s="18" t="str">
        <f>VLOOKUP($A30,Questions!$A$2:$X$333,2,0)&amp;""</f>
        <v>Does your product or service have an interface?</v>
      </c>
      <c r="C30" s="21" t="s">
        <v>40</v>
      </c>
      <c r="D30" s="364" t="s">
        <v>1817</v>
      </c>
      <c r="E30" s="168" t="str">
        <f>IF($C30="Yes",VLOOKUP($A30,Questions!$A$2:$X$333,17,0)&amp;"",IF($C30="No",VLOOKUP($A30,Questions!$A$2:$X$333,16,0)&amp;"",VLOOKUP($A30,Questions!$A$2:$X$333,15,0)&amp;""))</f>
        <v>DO complete the IT Accessibility worksheet.</v>
      </c>
      <c r="F30" s="202" t="str">
        <f>VLOOKUP($A30,'Institution Evaluation'!$A$56:$F$346,6,0)&amp;""</f>
        <v/>
      </c>
      <c r="I30" s="36"/>
    </row>
    <row r="31" spans="1:9" s="1" customFormat="1" ht="54" customHeight="1" x14ac:dyDescent="0.2">
      <c r="A31" s="19" t="s">
        <v>54</v>
      </c>
      <c r="B31" s="18" t="str">
        <f>VLOOKUP($A31,Questions!$A$2:$X$333,2,0)&amp;""</f>
        <v>Are you providing consulting services?</v>
      </c>
      <c r="C31" s="21" t="s">
        <v>149</v>
      </c>
      <c r="D31" s="40"/>
      <c r="E31" s="168" t="str">
        <f>IF($C31="Yes",VLOOKUP($A31,Questions!$A$2:$X$333,17,0)&amp;"",IF($C31="No",VLOOKUP($A31,Questions!$A$2:$X$333,16,0)&amp;"",VLOOKUP($A31,Questions!$A$2:$X$333,15,0)&amp;""))</f>
        <v>DO NOT complete the Consulting section in the Case-Specific worksheet</v>
      </c>
      <c r="F31" s="202" t="str">
        <f>VLOOKUP($A31,'Institution Evaluation'!$A$56:$F$346,6,0)&amp;""</f>
        <v/>
      </c>
      <c r="I31" s="36"/>
    </row>
    <row r="32" spans="1:9" s="1" customFormat="1" ht="54" customHeight="1" x14ac:dyDescent="0.2">
      <c r="A32" s="19" t="s">
        <v>58</v>
      </c>
      <c r="B32" s="18" t="str">
        <f>VLOOKUP($A32,Questions!$A$2:$X$333,2,0)&amp;""</f>
        <v>Does your solution have AI features, or are there plans to implement AI features in the next 12 months?</v>
      </c>
      <c r="C32" s="21" t="s">
        <v>149</v>
      </c>
      <c r="D32" s="40"/>
      <c r="E32" s="168" t="str">
        <f>IF($C32="Yes",VLOOKUP($A32,Questions!$A$2:$X$333,17,0)&amp;"",IF($C32="No",VLOOKUP($A32,Questions!$A$2:$X$333,16,0)&amp;"",VLOOKUP($A32,Questions!$A$2:$X$333,15,0)&amp;""))</f>
        <v>DO NOT complete the Artificial Intelligence (AI) worksheet</v>
      </c>
      <c r="F32" s="202" t="str">
        <f>VLOOKUP($A32,'Institution Evaluation'!$A$56:$F$346,6,0)&amp;""</f>
        <v/>
      </c>
      <c r="I32" s="36"/>
    </row>
    <row r="33" spans="1:10" s="1" customFormat="1" ht="54" customHeight="1" x14ac:dyDescent="0.2">
      <c r="A33" s="19" t="s">
        <v>61</v>
      </c>
      <c r="B33" s="18" t="str">
        <f>VLOOKUP($A33,Questions!$A$2:$X$333,2,0)&amp;""</f>
        <v>Does your solution process protected health information (PHI) or any data covered by the Health Insurance Portability and Accountability Act (HIPAA)?</v>
      </c>
      <c r="C33" s="21" t="s">
        <v>149</v>
      </c>
      <c r="D33" s="40"/>
      <c r="E33" s="168" t="str">
        <f>IF($C33="Yes",VLOOKUP($A33,Questions!$A$2:$X$333,17,0)&amp;"",IF($C33="No",VLOOKUP($A33,Questions!$A$2:$X$333,16,0)&amp;"",VLOOKUP($A33,Questions!$A$2:$X$333,15,0)&amp;""))</f>
        <v>DO NOT complete the HIPAA section in the Case-Specific worksheet</v>
      </c>
      <c r="F33" s="202" t="str">
        <f>VLOOKUP($A33,'Institution Evaluation'!$A$56:$F$346,6,0)&amp;""</f>
        <v/>
      </c>
      <c r="I33" s="36"/>
    </row>
    <row r="34" spans="1:10" s="1" customFormat="1" ht="54" customHeight="1" x14ac:dyDescent="0.2">
      <c r="A34" s="19" t="s">
        <v>64</v>
      </c>
      <c r="B34" s="18" t="str">
        <f>VLOOKUP($A34,Questions!$A$2:$X$333,2,0)&amp;""</f>
        <v>Is the solution designed to process, store, or transmit credit card information?</v>
      </c>
      <c r="C34" s="21" t="s">
        <v>149</v>
      </c>
      <c r="D34" s="40"/>
      <c r="E34" s="168" t="str">
        <f>IF($C34="Yes",VLOOKUP($A34,Questions!$A$2:$X$333,17,0)&amp;"",IF($C34="No",VLOOKUP($A34,Questions!$A$2:$X$333,16,0)&amp;"",VLOOKUP($A34,Questions!$A$2:$X$333,15,0)&amp;""))</f>
        <v>DO NOT complete the PCI-DSS section in the Case-Specific worksheet</v>
      </c>
      <c r="F34" s="202" t="str">
        <f>VLOOKUP($A34,'Institution Evaluation'!$A$56:$F$346,6,0)&amp;""</f>
        <v/>
      </c>
      <c r="I34" s="36"/>
    </row>
    <row r="35" spans="1:10" s="1" customFormat="1" ht="66" customHeight="1" x14ac:dyDescent="0.2">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t="s">
        <v>149</v>
      </c>
      <c r="D35" s="40"/>
      <c r="E35" s="168" t="str">
        <f>IF($C35="Yes",VLOOKUP($A35,Questions!$A$2:$X$333,17,0)&amp;"",IF($C35="No",VLOOKUP($A35,Questions!$A$2:$X$333,16,0)&amp;"",VLOOKUP($A35,Questions!$A$2:$X$333,15,0)&amp;""))</f>
        <v>DO NOT complete the On-Prem section in the Case-Specific worksheet</v>
      </c>
      <c r="F35" s="202" t="str">
        <f>VLOOKUP($A35,'Institution Evaluation'!$A$56:$F$346,6,0)&amp;""</f>
        <v/>
      </c>
      <c r="I35" s="36"/>
    </row>
    <row r="36" spans="1:10" s="1" customFormat="1" ht="71.25" x14ac:dyDescent="0.2">
      <c r="A36" s="156" t="s">
        <v>1004</v>
      </c>
      <c r="B36" s="18" t="str">
        <f>VLOOKUP($A36,Questions!$A$2:$X$333,2,0)&amp;""</f>
        <v>Does your solution have access to personal or institutional data?</v>
      </c>
      <c r="C36" s="21" t="s">
        <v>149</v>
      </c>
      <c r="D36" s="40" t="s">
        <v>1818</v>
      </c>
      <c r="E36" s="168" t="str">
        <f>IF($C36="Yes",VLOOKUP($A36,Questions!$A$2:$X$333,17,0)&amp;"",IF($C36="No",VLOOKUP($A36,Questions!$A$2:$X$333,16,0)&amp;"",VLOOKUP($A36,Questions!$A$2:$X$333,15,0)&amp;""))</f>
        <v>DO NOT complete the Privacy tab</v>
      </c>
      <c r="F36" s="202" t="str">
        <f>VLOOKUP($A36,'Institution Evaluation'!$A$56:$F$346,6,0)&amp;""</f>
        <v/>
      </c>
      <c r="G36" s="239" t="s">
        <v>1505</v>
      </c>
      <c r="H36" s="36"/>
      <c r="J36" s="36"/>
    </row>
    <row r="37" spans="1:10" s="172" customFormat="1" ht="63.75" customHeight="1" x14ac:dyDescent="0.2">
      <c r="A37" s="246" t="s">
        <v>1523</v>
      </c>
      <c r="B37" s="254"/>
      <c r="C37" s="255"/>
      <c r="D37" s="256"/>
      <c r="E37" s="257"/>
      <c r="F37" s="258"/>
      <c r="G37" s="259"/>
      <c r="H37" s="173"/>
      <c r="J37" s="173"/>
    </row>
    <row r="38" spans="1:10" ht="24.75" customHeight="1" x14ac:dyDescent="0.2">
      <c r="A38" s="268" t="s">
        <v>1565</v>
      </c>
    </row>
    <row r="39" spans="1:10" ht="15" hidden="1" customHeight="1" x14ac:dyDescent="0.2"/>
    <row r="74" ht="15" hidden="1" customHeight="1" x14ac:dyDescent="0.2"/>
    <row r="75" ht="15" hidden="1" customHeight="1" x14ac:dyDescent="0.2"/>
  </sheetData>
  <mergeCells count="8">
    <mergeCell ref="C19:E19"/>
    <mergeCell ref="C20:E20"/>
    <mergeCell ref="C13:E13"/>
    <mergeCell ref="C14:E14"/>
    <mergeCell ref="C16:E16"/>
    <mergeCell ref="C15:E15"/>
    <mergeCell ref="C17:E17"/>
    <mergeCell ref="C18:E18"/>
  </mergeCells>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F13:F21 D21:E21 D29" xr:uid="{D49D790A-2236-4562-8A1A-C1D1B1C43217}"/>
  </dataValidations>
  <hyperlinks>
    <hyperlink ref="A11" r:id="rId1" display="http://www.educause.edu/HECVAT" xr:uid="{C8C809B9-E9A3-4614-BD81-E36A46E9EC44}"/>
    <hyperlink ref="C18" r:id="rId2" xr:uid="{FF048D12-F65F-42CC-B56B-BA501A57E66A}"/>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C29:C37 C25:C26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2"/>
  <cols>
    <col min="1" max="1" width="8.09765625" style="56" customWidth="1"/>
    <col min="2" max="2" width="21.69921875" style="56" customWidth="1"/>
    <col min="3" max="3" width="27.69921875" style="56" customWidth="1"/>
    <col min="4" max="4" width="21.5" style="56" bestFit="1" customWidth="1"/>
    <col min="5" max="5" width="21.3984375" style="56" bestFit="1" customWidth="1"/>
    <col min="6" max="6" width="17" style="56" customWidth="1"/>
    <col min="7" max="7" width="2.19921875" style="56" customWidth="1"/>
    <col min="8" max="8" width="6.5" style="56" customWidth="1"/>
    <col min="9" max="9" width="8.3984375" style="56" bestFit="1" customWidth="1"/>
    <col min="10" max="10" width="31.09765625" style="56" customWidth="1"/>
    <col min="11" max="13" width="22.69921875" style="56" customWidth="1"/>
    <col min="14" max="14" width="8.5" style="56" customWidth="1"/>
    <col min="15" max="15" width="8.296875" style="56" hidden="1" customWidth="1"/>
    <col min="16" max="16" width="8.19921875" style="56" hidden="1" customWidth="1"/>
    <col min="17" max="17" width="8.3984375" style="56" hidden="1" customWidth="1"/>
    <col min="18" max="24" width="8.5" style="56" hidden="1" customWidth="1"/>
    <col min="25" max="25" width="8.3984375" style="56" hidden="1" customWidth="1"/>
    <col min="26" max="26" width="8.296875" style="56" hidden="1" customWidth="1"/>
    <col min="27" max="28" width="8.5" style="56" hidden="1" customWidth="1"/>
    <col min="29" max="29" width="8.19921875" style="56" hidden="1" customWidth="1"/>
    <col min="30" max="30" width="8.5" style="56" hidden="1" customWidth="1"/>
    <col min="31" max="32" width="8.3984375" style="56" hidden="1" customWidth="1"/>
    <col min="33" max="34" width="8.5" style="56" hidden="1" customWidth="1"/>
    <col min="35" max="35" width="10.59765625" style="56" hidden="1" customWidth="1"/>
    <col min="36" max="43" width="8.5" style="56" hidden="1" customWidth="1"/>
    <col min="44" max="46" width="8.3984375" style="56" hidden="1" customWidth="1"/>
    <col min="47" max="47" width="8.5" style="56" hidden="1" customWidth="1"/>
    <col min="48" max="48" width="8.3984375" style="56" hidden="1" customWidth="1"/>
    <col min="49" max="53" width="8.5" style="56" hidden="1" customWidth="1"/>
    <col min="54" max="54" width="8.69921875" style="56" hidden="1" customWidth="1"/>
    <col min="55" max="55" width="8.5" style="56" hidden="1" customWidth="1"/>
    <col min="56" max="56" width="8.296875" style="56" hidden="1" customWidth="1"/>
    <col min="57" max="57" width="8.5" style="56" hidden="1" customWidth="1"/>
    <col min="58" max="60" width="8.3984375" style="56" hidden="1" customWidth="1"/>
    <col min="61" max="63" width="8.5" style="56" hidden="1" customWidth="1"/>
    <col min="64" max="64" width="17.3984375" style="56" hidden="1" customWidth="1"/>
    <col min="65" max="68" width="8.5" style="56" hidden="1" customWidth="1"/>
    <col min="69" max="70" width="8.3984375" style="56" hidden="1" customWidth="1"/>
    <col min="71" max="90" width="8.5" style="56" hidden="1" customWidth="1"/>
    <col min="91" max="91" width="11.5" style="56" hidden="1" customWidth="1"/>
    <col min="92" max="94" width="8.5" style="56" hidden="1" customWidth="1"/>
    <col min="95" max="95" width="8.3984375" style="56" hidden="1" customWidth="1"/>
    <col min="96" max="96" width="11.3984375" style="56" hidden="1" customWidth="1"/>
    <col min="97" max="97" width="8.5" style="56" hidden="1" customWidth="1"/>
    <col min="98" max="98" width="8.19921875" style="56" hidden="1" customWidth="1"/>
    <col min="99" max="100" width="8.3984375" style="56" hidden="1" customWidth="1"/>
    <col min="101" max="102" width="8.5" style="56" hidden="1" customWidth="1"/>
    <col min="103" max="103" width="8.8984375" style="56" hidden="1" customWidth="1"/>
    <col min="104" max="109" width="8.5" style="56" hidden="1" customWidth="1"/>
    <col min="110" max="111" width="8.3984375" style="56" hidden="1" customWidth="1"/>
    <col min="112" max="114" width="8.5" style="56" hidden="1" customWidth="1"/>
    <col min="115" max="116" width="8.3984375" style="56" hidden="1" customWidth="1"/>
    <col min="117" max="117" width="8.5" style="56" hidden="1" customWidth="1"/>
    <col min="118" max="118" width="8.3984375" style="56" hidden="1" customWidth="1"/>
    <col min="119" max="119" width="10.8984375" style="56" hidden="1" customWidth="1"/>
    <col min="120" max="124" width="8.5" style="56" hidden="1" customWidth="1"/>
    <col min="125" max="125" width="9" style="56" hidden="1" customWidth="1"/>
    <col min="126" max="128" width="8.5" style="56" hidden="1" customWidth="1"/>
    <col min="129" max="129" width="8.3984375" style="56" hidden="1" customWidth="1"/>
    <col min="130" max="133" width="8.5" style="56" hidden="1" customWidth="1"/>
    <col min="134" max="134" width="10.59765625" style="56" hidden="1" customWidth="1"/>
    <col min="135" max="135" width="8.3984375" style="56" hidden="1" customWidth="1"/>
    <col min="136" max="138" width="8.5" style="56" hidden="1" customWidth="1"/>
    <col min="139" max="140" width="8.3984375" style="56" hidden="1" customWidth="1"/>
    <col min="141" max="145" width="8.5" style="56" hidden="1" customWidth="1"/>
    <col min="146" max="146" width="8.3984375" style="56" hidden="1" customWidth="1"/>
    <col min="147" max="148" width="8.5" style="56" hidden="1" customWidth="1"/>
    <col min="149" max="149" width="8.3984375" style="56" hidden="1" customWidth="1"/>
    <col min="150" max="151" width="8.5" style="56" hidden="1" customWidth="1"/>
    <col min="152" max="152" width="8.296875" style="56" hidden="1" customWidth="1"/>
    <col min="153" max="155" width="8.5" style="56" hidden="1" customWidth="1"/>
    <col min="156" max="156" width="8.3984375" style="56" hidden="1" customWidth="1"/>
    <col min="157" max="157" width="14.69921875" style="56" hidden="1" customWidth="1"/>
    <col min="158" max="158" width="8.3984375" style="56" hidden="1" customWidth="1"/>
    <col min="159" max="159" width="12.3984375" style="56" hidden="1" customWidth="1"/>
    <col min="160" max="161" width="8.5" style="56" hidden="1" customWidth="1"/>
    <col min="162" max="162" width="8.3984375" style="56" hidden="1" customWidth="1"/>
    <col min="163" max="164" width="8.5" style="56" hidden="1" customWidth="1"/>
    <col min="165" max="165" width="8" style="56" hidden="1" customWidth="1"/>
    <col min="166" max="166" width="8.5" style="56" hidden="1" customWidth="1"/>
    <col min="167" max="167" width="8.3984375" style="56" hidden="1" customWidth="1"/>
    <col min="168" max="169" width="8.5" style="56" hidden="1" customWidth="1"/>
    <col min="170" max="170" width="9" style="56" hidden="1" customWidth="1"/>
    <col min="171" max="171" width="8.19921875" style="56" hidden="1" customWidth="1"/>
    <col min="172" max="172" width="8.3984375" style="56" hidden="1" customWidth="1"/>
    <col min="173" max="173" width="8.5" style="56" hidden="1" customWidth="1"/>
    <col min="174" max="174" width="8.3984375" style="56" hidden="1" customWidth="1"/>
    <col min="175" max="175" width="8.5" style="56" hidden="1" customWidth="1"/>
    <col min="176" max="176" width="8.3984375" style="56" hidden="1" customWidth="1"/>
    <col min="177" max="177" width="8.296875" style="56" hidden="1" customWidth="1"/>
    <col min="178" max="179" width="8.5" style="56" hidden="1" customWidth="1"/>
    <col min="180" max="180" width="8.19921875" style="56" hidden="1" customWidth="1"/>
    <col min="181" max="181" width="8.3984375" style="56" hidden="1" customWidth="1"/>
    <col min="182" max="183" width="8.5" style="56" hidden="1" customWidth="1"/>
    <col min="184" max="184" width="11.8984375" style="56" hidden="1" customWidth="1"/>
    <col min="185" max="185" width="9.09765625" style="56" hidden="1" customWidth="1"/>
    <col min="186" max="186" width="8.5" style="56" hidden="1" customWidth="1"/>
    <col min="187" max="187" width="10.19921875" style="56" hidden="1" customWidth="1"/>
    <col min="188" max="190" width="8.5" style="56" hidden="1" customWidth="1"/>
    <col min="191" max="191" width="8.3984375" style="56" hidden="1" customWidth="1"/>
    <col min="192" max="192" width="8.5" style="56" hidden="1" customWidth="1"/>
    <col min="193" max="193" width="8.19921875" style="56" hidden="1" customWidth="1"/>
    <col min="194" max="194" width="8.3984375" style="56" hidden="1" customWidth="1"/>
    <col min="195" max="198" width="8.5" style="56" hidden="1" customWidth="1"/>
    <col min="199" max="201" width="8.3984375" style="56" hidden="1" customWidth="1"/>
    <col min="202" max="202" width="8.5" style="56" hidden="1" customWidth="1"/>
    <col min="203" max="206" width="8.3984375" style="56" hidden="1" customWidth="1"/>
    <col min="207" max="209" width="8.5" style="56" hidden="1" customWidth="1"/>
    <col min="210" max="210" width="8.09765625" style="56" hidden="1" customWidth="1"/>
    <col min="211" max="211" width="8.5" style="56" hidden="1" customWidth="1"/>
    <col min="212" max="213" width="8.3984375" style="56" hidden="1" customWidth="1"/>
    <col min="214" max="214" width="7.8984375" style="56" hidden="1" customWidth="1"/>
    <col min="215" max="216" width="8.5" style="56" hidden="1" customWidth="1"/>
    <col min="217" max="217" width="8.3984375" style="56" hidden="1" customWidth="1"/>
    <col min="218" max="219" width="8.5" style="56" hidden="1" customWidth="1"/>
    <col min="220" max="220" width="8.3984375" style="56" hidden="1" customWidth="1"/>
    <col min="221" max="221" width="8.19921875" style="56" hidden="1" customWidth="1"/>
    <col min="222" max="222" width="8.3984375" style="56" hidden="1" customWidth="1"/>
    <col min="223" max="224" width="8.5" style="56" hidden="1" customWidth="1"/>
    <col min="225" max="225" width="8.3984375" style="56" hidden="1" customWidth="1"/>
    <col min="226" max="227" width="8.5" style="56" hidden="1" customWidth="1"/>
    <col min="228" max="231" width="8.3984375" style="56" hidden="1" customWidth="1"/>
    <col min="232" max="233" width="8.5" style="56" hidden="1" customWidth="1"/>
    <col min="234" max="234" width="8.3984375" style="56" hidden="1" customWidth="1"/>
    <col min="235" max="235" width="8.296875" style="56" hidden="1" customWidth="1"/>
    <col min="236" max="236" width="8.3984375" style="56" hidden="1" customWidth="1"/>
    <col min="237" max="237" width="8.5" style="56" hidden="1" customWidth="1"/>
    <col min="238" max="238" width="8.296875" style="56" hidden="1" customWidth="1"/>
    <col min="239" max="242" width="8.3984375" style="56" hidden="1" customWidth="1"/>
    <col min="243" max="243" width="10.09765625" style="56" hidden="1" customWidth="1"/>
    <col min="244" max="244" width="8.3984375" style="56" hidden="1" customWidth="1"/>
    <col min="245" max="249" width="8.5" style="56" hidden="1" customWidth="1"/>
    <col min="250" max="250" width="8.3984375" style="56" hidden="1" customWidth="1"/>
    <col min="251" max="254" width="8.5" style="56" hidden="1" customWidth="1"/>
    <col min="255" max="256" width="8.3984375" style="56" hidden="1" customWidth="1"/>
    <col min="257" max="259" width="8.5" style="56" hidden="1" customWidth="1"/>
    <col min="260" max="261" width="8.3984375" style="56" hidden="1" customWidth="1"/>
    <col min="262" max="263" width="8.5" style="56" hidden="1" customWidth="1"/>
    <col min="264" max="264" width="8.296875" style="56" hidden="1" customWidth="1"/>
    <col min="265" max="265" width="8.5" style="56" hidden="1" customWidth="1"/>
    <col min="266" max="266" width="8.3984375" style="56" hidden="1" customWidth="1"/>
    <col min="267" max="267" width="8.5" style="56" hidden="1" customWidth="1"/>
    <col min="268" max="268" width="8.8984375" style="56" hidden="1" customWidth="1"/>
    <col min="269" max="269" width="10.3984375" style="56" hidden="1" customWidth="1"/>
    <col min="270" max="270" width="8.5" style="56" hidden="1" customWidth="1"/>
    <col min="271" max="273" width="8.3984375" style="56" hidden="1" customWidth="1"/>
    <col min="274" max="276" width="8.5" style="56" hidden="1" customWidth="1"/>
    <col min="277" max="277" width="8.296875" style="56" hidden="1" customWidth="1"/>
    <col min="278" max="278" width="8.3984375" style="56" hidden="1" customWidth="1"/>
    <col min="279" max="282" width="8.5" style="56" hidden="1" customWidth="1"/>
    <col min="283" max="283" width="8.296875" style="56" hidden="1" customWidth="1"/>
    <col min="284" max="284" width="8.3984375" style="56" hidden="1" customWidth="1"/>
    <col min="285" max="286" width="8.296875" style="56" hidden="1" customWidth="1"/>
    <col min="287" max="288" width="8.3984375" style="56" hidden="1" customWidth="1"/>
    <col min="289" max="295" width="8.5" style="56" hidden="1" customWidth="1"/>
    <col min="296" max="296" width="8.09765625" style="56" hidden="1" customWidth="1"/>
    <col min="297" max="297" width="8.5" style="56" hidden="1" customWidth="1"/>
    <col min="298" max="298" width="7.8984375" style="56" hidden="1" customWidth="1"/>
    <col min="299" max="300" width="8.5" style="56" hidden="1" customWidth="1"/>
    <col min="301" max="304" width="8.296875" style="56" hidden="1" customWidth="1"/>
    <col min="305" max="308" width="8.19921875" style="56" hidden="1" customWidth="1"/>
    <col min="309" max="309" width="7.59765625" style="56" hidden="1" customWidth="1"/>
    <col min="310" max="310" width="8.3984375" style="56" hidden="1" customWidth="1"/>
    <col min="311" max="311" width="8.296875" style="56" hidden="1" customWidth="1"/>
    <col min="312" max="313" width="8.3984375" style="56" hidden="1" customWidth="1"/>
    <col min="314" max="314" width="8.5" style="56" hidden="1" customWidth="1"/>
    <col min="315" max="315" width="8.3984375" style="56" hidden="1" customWidth="1"/>
    <col min="316" max="316" width="8.5" style="56" hidden="1" customWidth="1"/>
    <col min="317" max="318" width="8.3984375" style="56" hidden="1" customWidth="1"/>
    <col min="319" max="319" width="8.5" style="56" hidden="1" customWidth="1"/>
    <col min="320" max="321" width="8.3984375" style="56" hidden="1" customWidth="1"/>
    <col min="322" max="324" width="8.5" style="56" hidden="1" customWidth="1"/>
    <col min="325" max="325" width="8.3984375" style="56" hidden="1" customWidth="1"/>
    <col min="326" max="329" width="8.5" style="56" hidden="1" customWidth="1"/>
    <col min="330" max="330" width="9.3984375" style="56" hidden="1" customWidth="1"/>
    <col min="331" max="334" width="8.5" style="56" hidden="1" customWidth="1"/>
    <col min="335" max="335" width="8.3984375" style="56" hidden="1" customWidth="1"/>
    <col min="336" max="336" width="8.5" style="56" hidden="1" customWidth="1"/>
    <col min="337" max="337" width="8.3984375" style="56" hidden="1" customWidth="1"/>
    <col min="338" max="338" width="6.5" style="56" hidden="1" customWidth="1"/>
    <col min="339" max="16384" width="8.5" style="56" hidden="1"/>
  </cols>
  <sheetData>
    <row r="1" spans="1:13" hidden="1" x14ac:dyDescent="0.2">
      <c r="A1" s="241" t="s">
        <v>1508</v>
      </c>
    </row>
    <row r="2" spans="1:13" ht="36" customHeight="1" x14ac:dyDescent="0.2">
      <c r="A2" s="177" t="s">
        <v>1535</v>
      </c>
      <c r="B2" s="177"/>
      <c r="C2" s="177"/>
      <c r="D2" s="177"/>
      <c r="E2" s="177"/>
      <c r="F2" s="177"/>
      <c r="G2" s="177"/>
      <c r="H2" s="177"/>
      <c r="I2" s="178"/>
      <c r="J2" s="178" t="str">
        <f>'Auto Responses'!$A$36</f>
        <v>Version 4.1.2</v>
      </c>
      <c r="K2" s="178"/>
      <c r="L2" s="178"/>
      <c r="M2" s="178"/>
    </row>
    <row r="3" spans="1:13" ht="22.5" customHeight="1" x14ac:dyDescent="0.2">
      <c r="A3" s="99"/>
      <c r="B3" s="99"/>
      <c r="C3" s="99"/>
      <c r="D3" s="99"/>
      <c r="E3" s="99"/>
      <c r="F3" s="99"/>
      <c r="G3" s="99"/>
      <c r="H3" s="99"/>
      <c r="I3" s="99"/>
      <c r="J3" s="99"/>
      <c r="K3" s="99"/>
      <c r="L3" s="99"/>
      <c r="M3" s="99"/>
    </row>
    <row r="4" spans="1:13" ht="36" customHeight="1" x14ac:dyDescent="0.2">
      <c r="A4" s="100" t="s">
        <v>1455</v>
      </c>
      <c r="B4" s="101"/>
      <c r="C4" s="101"/>
      <c r="D4" s="101"/>
      <c r="E4" s="101"/>
      <c r="F4" s="101"/>
      <c r="G4" s="101"/>
      <c r="H4" s="101"/>
      <c r="I4" s="101"/>
      <c r="J4" s="101"/>
      <c r="K4" s="101"/>
      <c r="L4" s="101"/>
      <c r="M4" s="101"/>
    </row>
    <row r="5" spans="1:13" ht="19.5" customHeight="1" x14ac:dyDescent="0.2">
      <c r="A5" s="297" t="str">
        <f>HLOOKUP($A$4,'Auto Responses'!$H$2:$H$5,2,0)&amp;""</f>
        <v xml:space="preserve">1. The scorecard below reflects those questions marked as "Critical Importance" or those where the "Non-Negotiable" box was checked. </v>
      </c>
      <c r="B5" s="166"/>
      <c r="C5" s="166"/>
      <c r="D5" s="166"/>
      <c r="E5" s="166"/>
      <c r="F5" s="166"/>
      <c r="G5" s="166"/>
      <c r="H5" s="166"/>
      <c r="I5" s="166"/>
      <c r="J5" s="62"/>
      <c r="K5" s="62"/>
      <c r="L5" s="62"/>
      <c r="M5" s="62"/>
    </row>
    <row r="6" spans="1:13" s="238" customFormat="1" ht="19.5" customHeight="1" x14ac:dyDescent="0.2">
      <c r="A6" s="297" t="str">
        <f>HLOOKUP($A$4,'Auto Responses'!$H$2:$H$5,3,0)&amp;""</f>
        <v xml:space="preserve">2. Use these condensed, aggregated views to review those questions that pose the highest risk. </v>
      </c>
      <c r="B6" s="297"/>
      <c r="C6" s="297"/>
      <c r="D6" s="297"/>
      <c r="E6" s="297"/>
      <c r="F6" s="297"/>
      <c r="G6" s="297"/>
      <c r="H6" s="297"/>
      <c r="I6" s="297"/>
      <c r="J6" s="298"/>
      <c r="K6" s="298"/>
      <c r="L6" s="298"/>
      <c r="M6" s="298"/>
    </row>
    <row r="7" spans="1:13" ht="19.5" customHeight="1" x14ac:dyDescent="0.2">
      <c r="A7" s="297" t="str">
        <f>HLOOKUP($A$4,'Auto Responses'!$H$2:$H$5,4,0)&amp;""</f>
        <v>3. Changes cannot be made in this sheet. Please make changes in the appropriate "Evaluation" tab.</v>
      </c>
      <c r="B7" s="166"/>
      <c r="C7" s="166"/>
      <c r="D7" s="166"/>
      <c r="E7" s="166"/>
      <c r="F7" s="166"/>
      <c r="G7" s="166"/>
      <c r="H7" s="166"/>
      <c r="I7" s="166"/>
      <c r="J7" s="62"/>
      <c r="K7" s="62"/>
      <c r="L7" s="62"/>
      <c r="M7" s="62"/>
    </row>
    <row r="8" spans="1:13" ht="19.5" customHeight="1" thickBot="1" x14ac:dyDescent="0.25">
      <c r="A8" s="247" t="s">
        <v>1582</v>
      </c>
      <c r="B8" s="166"/>
      <c r="C8" s="166"/>
      <c r="D8" s="166"/>
      <c r="E8" s="166"/>
      <c r="F8" s="166"/>
      <c r="G8" s="166"/>
      <c r="H8" s="166"/>
      <c r="I8" s="166"/>
      <c r="J8" s="62"/>
      <c r="K8" s="62"/>
      <c r="L8" s="62"/>
      <c r="M8" s="62"/>
    </row>
    <row r="9" spans="1:13" s="90" customFormat="1" ht="25.5" customHeight="1" x14ac:dyDescent="0.2">
      <c r="A9" s="157" t="str">
        <f>'START HERE'!$B$13</f>
        <v>Solution Provider Name</v>
      </c>
      <c r="B9" s="143"/>
      <c r="C9" s="137" t="str">
        <f>VLOOKUP($A9,'START HERE'!$B$13:$C$21,2,0)&amp;""</f>
        <v>Indiana University</v>
      </c>
      <c r="D9" s="138"/>
      <c r="E9" s="139"/>
      <c r="F9" s="91"/>
      <c r="G9" s="91"/>
      <c r="H9" s="96"/>
      <c r="I9" s="91"/>
      <c r="J9" s="91"/>
    </row>
    <row r="10" spans="1:13" s="90" customFormat="1" ht="25.5" customHeight="1" x14ac:dyDescent="0.2">
      <c r="A10" s="158" t="str">
        <f>'START HERE'!$B$16</f>
        <v>Solution Provider Contact Name</v>
      </c>
      <c r="B10" s="144"/>
      <c r="C10" s="136" t="str">
        <f>VLOOKUP($A10,'START HERE'!$B$13:$C$21,2,0)&amp;""</f>
        <v>James Cole</v>
      </c>
      <c r="D10" s="98"/>
      <c r="E10" s="140"/>
      <c r="F10" s="91"/>
      <c r="G10" s="91"/>
      <c r="H10" s="96"/>
      <c r="I10" s="91"/>
      <c r="J10" s="91"/>
    </row>
    <row r="11" spans="1:13" s="90" customFormat="1" ht="25.5" customHeight="1" x14ac:dyDescent="0.2">
      <c r="A11" s="158" t="str">
        <f>'START HERE'!$B$17</f>
        <v>Solution Provider Contact Title</v>
      </c>
      <c r="B11" s="144"/>
      <c r="C11" s="136" t="str">
        <f>VLOOKUP($A11,'START HERE'!$B$13:$C$21,2,0)&amp;""</f>
        <v>NSSE Shorts Coordinator</v>
      </c>
      <c r="D11" s="98"/>
      <c r="E11" s="140"/>
      <c r="F11" s="91"/>
      <c r="G11" s="91"/>
      <c r="H11" s="96"/>
      <c r="I11" s="91"/>
      <c r="J11" s="91"/>
    </row>
    <row r="12" spans="1:13" s="90" customFormat="1" ht="25.5" customHeight="1" x14ac:dyDescent="0.2">
      <c r="A12" s="158" t="str">
        <f>'START HERE'!$B$18</f>
        <v>Solution Provider Contact Email</v>
      </c>
      <c r="B12" s="144"/>
      <c r="C12" s="136" t="str">
        <f>VLOOKUP($A12,'START HERE'!$B$13:$C$21,2,0)&amp;""</f>
        <v>nsseshrt@iu.edu</v>
      </c>
      <c r="D12" s="98"/>
      <c r="E12" s="140"/>
      <c r="F12" s="134"/>
      <c r="G12" s="135"/>
      <c r="H12" s="135"/>
      <c r="I12" s="135"/>
      <c r="J12" s="135"/>
    </row>
    <row r="13" spans="1:13" s="90" customFormat="1" ht="25.5" customHeight="1" x14ac:dyDescent="0.2">
      <c r="A13" s="158" t="str">
        <f>'START HERE'!$B$14</f>
        <v>Solution Name</v>
      </c>
      <c r="B13" s="144"/>
      <c r="C13" s="136" t="str">
        <f>VLOOKUP($A13,'START HERE'!$B$13:$C$21,2,0)&amp;""</f>
        <v>NSSE Shorts</v>
      </c>
      <c r="D13" s="98"/>
      <c r="E13" s="140"/>
      <c r="F13" s="134"/>
      <c r="G13" s="135"/>
      <c r="H13" s="135"/>
      <c r="I13" s="135"/>
      <c r="J13" s="135"/>
    </row>
    <row r="14" spans="1:13" s="90" customFormat="1" ht="25.5" customHeight="1" x14ac:dyDescent="0.2">
      <c r="A14" s="158" t="str">
        <f>'START HERE'!$B$15</f>
        <v>Solution Description</v>
      </c>
      <c r="B14" s="144"/>
      <c r="C14" s="136" t="str">
        <f>VLOOKUP($A14,'START HERE'!$B$13:$C$21,2,0)&amp;""</f>
        <v>We survey undergraduate students about their college experiences</v>
      </c>
      <c r="D14" s="98"/>
      <c r="E14" s="140"/>
      <c r="F14" s="134"/>
      <c r="G14" s="135"/>
      <c r="H14" s="135"/>
      <c r="I14" s="135"/>
      <c r="J14" s="135"/>
    </row>
    <row r="15" spans="1:13" s="90" customFormat="1" ht="25.5" customHeight="1" thickBot="1" x14ac:dyDescent="0.25">
      <c r="A15" s="159" t="s">
        <v>983</v>
      </c>
      <c r="B15" s="145"/>
      <c r="C15" s="337" t="str">
        <f>'START HERE'!$C$3</f>
        <v>Oct 17 2025</v>
      </c>
      <c r="D15" s="141"/>
      <c r="E15" s="142"/>
      <c r="F15" s="134"/>
      <c r="G15" s="135"/>
      <c r="H15" s="135"/>
      <c r="I15" s="135"/>
      <c r="J15" s="135"/>
    </row>
    <row r="16" spans="1:13" x14ac:dyDescent="0.2">
      <c r="A16" s="52" t="s">
        <v>984</v>
      </c>
      <c r="C16" s="261"/>
    </row>
    <row r="17" spans="1:338" s="88" customFormat="1" ht="24" customHeight="1" thickBot="1" x14ac:dyDescent="0.25">
      <c r="A17" s="89"/>
      <c r="B17" s="89"/>
      <c r="C17" s="89"/>
    </row>
    <row r="18" spans="1:338" ht="37.35" customHeight="1" thickBot="1" x14ac:dyDescent="0.25">
      <c r="B18" s="84" t="s">
        <v>982</v>
      </c>
      <c r="C18" s="111" t="s">
        <v>1000</v>
      </c>
      <c r="D18" s="83" t="s">
        <v>1570</v>
      </c>
      <c r="E18" s="110" t="s">
        <v>981</v>
      </c>
      <c r="F18" s="87" t="s">
        <v>980</v>
      </c>
    </row>
    <row r="19" spans="1:338" s="85" customFormat="1" ht="37.35" customHeight="1" thickBot="1" x14ac:dyDescent="0.25">
      <c r="B19" s="114" t="s">
        <v>999</v>
      </c>
      <c r="C19" s="115">
        <f>SUM('(backend scoring)'!$Q$3:$Q$333)</f>
        <v>0</v>
      </c>
      <c r="D19" s="116">
        <f>SUMIF('(backend scoring)'!$Q$3:$Q$333,1,'(backend scoring)'!$O$3:$O$333)</f>
        <v>0</v>
      </c>
      <c r="E19" s="116">
        <f>SUMIF('(backend scoring)'!$Q$3:$Q$333,1,'(backend scoring)'!$P$3:$P$333)</f>
        <v>0</v>
      </c>
      <c r="F19" s="117" t="str">
        <f>IF(D19=0,"N/A",E19/D19)</f>
        <v>N/A</v>
      </c>
    </row>
    <row r="20" spans="1:338" s="85" customFormat="1" ht="37.35" customHeight="1" thickBot="1" x14ac:dyDescent="0.25">
      <c r="B20" s="114" t="s">
        <v>1580</v>
      </c>
      <c r="C20" s="115">
        <f>SUM('(backend scoring)'!$T$3:$T$333)</f>
        <v>88</v>
      </c>
      <c r="D20" s="116">
        <f>SUMIF('(backend scoring)'!$N$3:$N$333,1,'(backend scoring)'!$O$3:$O$333)</f>
        <v>1040</v>
      </c>
      <c r="E20" s="116">
        <f>SUMIF('(backend scoring)'!$N$3:$N$333,1,'(backend scoring)'!$P$3:$P$333)</f>
        <v>640</v>
      </c>
      <c r="F20" s="117">
        <f>IF(D20=0,"N/A",E20/D20)</f>
        <v>0.61538461538461542</v>
      </c>
      <c r="G20" s="239" t="s">
        <v>1505</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75"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299" t="s">
        <v>1581</v>
      </c>
      <c r="B23" s="164"/>
      <c r="C23" s="164"/>
      <c r="D23" s="164"/>
      <c r="E23" s="164"/>
      <c r="F23" s="165"/>
      <c r="G23" s="167"/>
      <c r="H23" s="299" t="s">
        <v>1012</v>
      </c>
      <c r="I23" s="164"/>
      <c r="J23" s="164"/>
      <c r="K23" s="164"/>
      <c r="L23" s="164"/>
      <c r="M23" s="165"/>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54"/>
      <c r="B24" s="208" t="s">
        <v>990</v>
      </c>
      <c r="C24" s="208" t="s">
        <v>1</v>
      </c>
      <c r="D24" s="208" t="s">
        <v>1555</v>
      </c>
      <c r="E24" s="208" t="s">
        <v>72</v>
      </c>
      <c r="F24" s="209" t="s">
        <v>884</v>
      </c>
      <c r="G24" s="206"/>
      <c r="H24" s="154"/>
      <c r="I24" s="208" t="s">
        <v>990</v>
      </c>
      <c r="J24" s="208" t="s">
        <v>1</v>
      </c>
      <c r="K24" s="208" t="s">
        <v>1555</v>
      </c>
      <c r="L24" s="208" t="s">
        <v>72</v>
      </c>
      <c r="M24" s="209" t="s">
        <v>884</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210">
        <v>1</v>
      </c>
      <c r="B25" s="210" t="str">
        <f>_xlfn.XLOOKUP($A25,'(backend scoring)'!$V$2:$V$333,'(backend scoring)'!$A$2:$A$333,"")</f>
        <v>COMP-01</v>
      </c>
      <c r="C25" s="210" t="str">
        <f>IFERROR(VLOOKUP($B25,'Institution Evaluation'!$A$55:$F$346,2,0),IFERROR(VLOOKUP($B25,'Privacy Analyst Evaluation'!$A$46:$F$120,2,0),""))&amp;""</f>
        <v>Do you have a dedicated software and system development team(s) (e.g., customer support, implementation, product management, etc.)?*</v>
      </c>
      <c r="D25" s="210" t="str">
        <f>IFERROR(VLOOKUP($B25,'Institution Evaluation'!$A$55:$F$346,3,0),IFERROR(VLOOKUP($B25,'Privacy Analyst Evaluation'!$A$46:$F$120,3,0),""))&amp;""</f>
        <v>Yes</v>
      </c>
      <c r="E25" s="210" t="str">
        <f>IFERROR(VLOOKUP($B25,'Institution Evaluation'!$A$55:$F$346,4,0),IFERROR(VLOOKUP($B25,'Privacy Analyst Evaluation'!$A$46:$F$120,4,0),""))&amp;""</f>
        <v>See Managing IU Data at: https://datamanagement.iu.edu/index.html</v>
      </c>
      <c r="F25" s="210" t="str">
        <f>IFERROR(VLOOKUP($B25,'Institution Evaluation'!$A$55:$F$346,6,0),IFERROR(VLOOKUP($B25,'Privacy Analyst Evaluation'!$A$46:$F$120,6,0),""))&amp;""</f>
        <v/>
      </c>
      <c r="G25" s="211"/>
      <c r="H25" s="210">
        <v>1</v>
      </c>
      <c r="I25" s="210" t="str">
        <f>_xlfn.XLOOKUP($H25,'(backend scoring)'!$S$2:$S$333,'(backend scoring)'!$A$2:$A$333,"")</f>
        <v/>
      </c>
      <c r="J25" s="210" t="str">
        <f>IFERROR(VLOOKUP($I25,'Institution Evaluation'!$A$55:$F$346,2,0),IFERROR(VLOOKUP($I25,'Privacy Analyst Evaluation'!$A$46:$F$120,2,0),""))&amp;""</f>
        <v/>
      </c>
      <c r="K25" s="210" t="str">
        <f>IFERROR(VLOOKUP($I25,'Institution Evaluation'!$A$55:$F$346,3,0),IFERROR(VLOOKUP($I25,'Privacy Analyst Evaluation'!$A$46:$F$120,3,0),""))&amp;""</f>
        <v/>
      </c>
      <c r="L25" s="210" t="str">
        <f>IFERROR(VLOOKUP($I25,'Institution Evaluation'!$A$55:$F$346,4,0),IFERROR(VLOOKUP($I25,'Privacy Analyst Evaluation'!$A$46:$F$120,4,0),""))&amp;""</f>
        <v/>
      </c>
      <c r="M25" s="210"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210">
        <f>IFERROR(IF($A25+1&gt;'(backend scoring)'!$T$335,"",$A25+1),"")</f>
        <v>2</v>
      </c>
      <c r="B26" s="210" t="str">
        <f>_xlfn.XLOOKUP($A26,'(backend scoring)'!$V$2:$V$333,'(backend scoring)'!$A$2:$A$333,"")</f>
        <v>DOCU-01</v>
      </c>
      <c r="C26" s="210" t="str">
        <f>IFERROR(VLOOKUP($B26,'Institution Evaluation'!$A$55:$F$346,2,0),IFERROR(VLOOKUP($B26,'Privacy Analyst Evaluation'!$A$46:$F$120,2,0),""))&amp;""</f>
        <v>Do you have a well-documented business continuity plan (BCP), with a clear owner, that is tested annually?*</v>
      </c>
      <c r="D26" s="210" t="str">
        <f>IFERROR(VLOOKUP($B26,'Institution Evaluation'!$A$55:$F$346,3,0),IFERROR(VLOOKUP($B26,'Privacy Analyst Evaluation'!$A$46:$F$120,3,0),""))&amp;""</f>
        <v>No</v>
      </c>
      <c r="E26" s="210" t="str">
        <f>IFERROR(VLOOKUP($B26,'Institution Evaluation'!$A$55:$F$346,4,0),IFERROR(VLOOKUP($B26,'Privacy Analyst Evaluation'!$A$46:$F$120,4,0),""))&amp;""</f>
        <v>NSSE Shorts as a project does not. HOWEVER, Qualtrics does; see Qualtrics HECVAT 2025 for more details: https://bcsse.iu.edu/doc/bcsse/Qualtrics%20HECVAT%202025.xlsx</v>
      </c>
      <c r="F26" s="210" t="str">
        <f>IFERROR(VLOOKUP($B26,'Institution Evaluation'!$A$55:$F$346,6,0),IFERROR(VLOOKUP($B26,'Privacy Analyst Evaluation'!$A$46:$F$120,6,0),""))&amp;""</f>
        <v/>
      </c>
      <c r="G26" s="211"/>
      <c r="H26" s="210" t="str">
        <f>IFERROR(IF($H25+1&gt;'(backend scoring)'!$Q$335,"",$H25+1),"")</f>
        <v/>
      </c>
      <c r="I26" s="210" t="str">
        <f>_xlfn.XLOOKUP($H26,'(backend scoring)'!$S$2:$S$333,'(backend scoring)'!$A$2:$A$333,"")</f>
        <v/>
      </c>
      <c r="J26" s="210" t="str">
        <f>IFERROR(VLOOKUP($I26,'Institution Evaluation'!$A$55:$F$346,2,0),IFERROR(VLOOKUP($I26,'Privacy Analyst Evaluation'!$A$46:$F$120,2,0),""))</f>
        <v/>
      </c>
      <c r="K26" s="210" t="str">
        <f>IFERROR(VLOOKUP($I26,'Institution Evaluation'!$A$55:$F$346,3,0),IFERROR(VLOOKUP($I26,'Privacy Analyst Evaluation'!$A$46:$F$120,3,0),""))&amp;""</f>
        <v/>
      </c>
      <c r="L26" s="210" t="str">
        <f>IFERROR(VLOOKUP($I26,'Institution Evaluation'!$A$55:$F$346,4,0),IFERROR(VLOOKUP($I26,'Privacy Analyst Evaluation'!$A$46:$F$120,4,0),""))&amp;""</f>
        <v/>
      </c>
      <c r="M26" s="210"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210">
        <f>IFERROR(IF($A26+1&gt;'(backend scoring)'!$T$335,"",$A26+1),"")</f>
        <v>3</v>
      </c>
      <c r="B27" s="210" t="str">
        <f>_xlfn.XLOOKUP($A27,'(backend scoring)'!$V$2:$V$333,'(backend scoring)'!$A$2:$A$333,"")</f>
        <v>DOCU-02</v>
      </c>
      <c r="C27" s="210" t="str">
        <f>IFERROR(VLOOKUP($B27,'Institution Evaluation'!$A$55:$F$346,2,0),IFERROR(VLOOKUP($B27,'Privacy Analyst Evaluation'!$A$46:$F$120,2,0),""))&amp;""</f>
        <v>Do you have a well-documented disaster recovery plan (DRP), with a clear owner, that is tested annually?*</v>
      </c>
      <c r="D27" s="210" t="str">
        <f>IFERROR(VLOOKUP($B27,'Institution Evaluation'!$A$55:$F$346,3,0),IFERROR(VLOOKUP($B27,'Privacy Analyst Evaluation'!$A$46:$F$120,3,0),""))&amp;""</f>
        <v>No</v>
      </c>
      <c r="E27" s="210" t="str">
        <f>IFERROR(VLOOKUP($B27,'Institution Evaluation'!$A$55:$F$346,4,0),IFERROR(VLOOKUP($B27,'Privacy Analyst Evaluation'!$A$46:$F$120,4,0),""))&amp;""</f>
        <v>NSSE Shorts as a project does not. HOWEVER, Qualtrics does;  see Qualtrics HECVAT 2025 for more details: https://bcsse.iu.edu/doc/bcsse/Qualtrics%20HECVAT%202025.xlsx</v>
      </c>
      <c r="F27" s="210" t="str">
        <f>IFERROR(VLOOKUP($B27,'Institution Evaluation'!$A$55:$F$346,6,0),IFERROR(VLOOKUP($B27,'Privacy Analyst Evaluation'!$A$46:$F$120,6,0),""))&amp;""</f>
        <v/>
      </c>
      <c r="G27" s="211"/>
      <c r="H27" s="210" t="str">
        <f>IFERROR(IF($H26+1&gt;'(backend scoring)'!$Q$335,"",$H26+1),"")</f>
        <v/>
      </c>
      <c r="I27" s="210" t="str">
        <f>_xlfn.XLOOKUP($H27,'(backend scoring)'!$S$2:$S$333,'(backend scoring)'!$A$2:$A$333,"")</f>
        <v/>
      </c>
      <c r="J27" s="210" t="str">
        <f>IFERROR(VLOOKUP($I27,'Institution Evaluation'!$A$55:$F$346,2,0),IFERROR(VLOOKUP($I27,'Privacy Analyst Evaluation'!$A$46:$F$120,2,0),""))</f>
        <v/>
      </c>
      <c r="K27" s="210" t="str">
        <f>IFERROR(VLOOKUP($I27,'Institution Evaluation'!$A$55:$F$346,3,0),IFERROR(VLOOKUP($I27,'Privacy Analyst Evaluation'!$A$46:$F$120,3,0),""))&amp;""</f>
        <v/>
      </c>
      <c r="L27" s="210" t="str">
        <f>IFERROR(VLOOKUP($I27,'Institution Evaluation'!$A$55:$F$346,4,0),IFERROR(VLOOKUP($I27,'Privacy Analyst Evaluation'!$A$46:$F$120,4,0),""))&amp;""</f>
        <v/>
      </c>
      <c r="M27" s="210"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180" x14ac:dyDescent="0.2">
      <c r="A28" s="210">
        <f>IFERROR(IF($A27+1&gt;'(backend scoring)'!$T$335,"",$A27+1),"")</f>
        <v>4</v>
      </c>
      <c r="B28" s="210" t="str">
        <f>_xlfn.XLOOKUP($A28,'(backend scoring)'!$V$2:$V$333,'(backend scoring)'!$A$2:$A$333,"")</f>
        <v>ITAC-06</v>
      </c>
      <c r="C28" s="210" t="str">
        <f>IFERROR(VLOOKUP($B28,'Institution Evaluation'!$A$55:$F$346,2,0),IFERROR(VLOOKUP($B28,'Privacy Analyst Evaluation'!$A$46:$F$120,2,0),""))&amp;""</f>
        <v>Has a VPAT or ACR been created or updated for the solution and version under consideration within the past 12 months?*</v>
      </c>
      <c r="D28" s="210" t="str">
        <f>IFERROR(VLOOKUP($B28,'Institution Evaluation'!$A$55:$F$346,3,0),IFERROR(VLOOKUP($B28,'Privacy Analyst Evaluation'!$A$46:$F$120,3,0),""))&amp;""</f>
        <v>Yes</v>
      </c>
      <c r="E28" s="210" t="str">
        <f>IFERROR(VLOOKUP($B28,'Institution Evaluation'!$A$55:$F$346,4,0),IFERROR(VLOOKUP($B28,'Privacy Analyst Evaluation'!$A$46:$F$120,4,0),""))&amp;""</f>
        <v>Details of our approach are available here - https://www.qualtrics.com/commitment-to-accessibility/
NSSE Shorts VPAT: https://nsse.indiana.edu/nsse/nsse-shorts/NSSE-Shorts-Administration-Instructions.html</v>
      </c>
      <c r="F28" s="210" t="str">
        <f>IFERROR(VLOOKUP($B28,'Institution Evaluation'!$A$55:$F$346,6,0),IFERROR(VLOOKUP($B28,'Privacy Analyst Evaluation'!$A$46:$F$120,6,0),""))&amp;""</f>
        <v/>
      </c>
      <c r="G28" s="211"/>
      <c r="H28" s="210" t="str">
        <f>IFERROR(IF($H27+1&gt;'(backend scoring)'!$Q$335,"",$H27+1),"")</f>
        <v/>
      </c>
      <c r="I28" s="210" t="str">
        <f>_xlfn.XLOOKUP($H28,'(backend scoring)'!$S$2:$S$333,'(backend scoring)'!$A$2:$A$333,"")</f>
        <v/>
      </c>
      <c r="J28" s="210" t="str">
        <f>IFERROR(VLOOKUP($I28,'Institution Evaluation'!$A$55:$F$346,2,0),IFERROR(VLOOKUP($I28,'Privacy Analyst Evaluation'!$A$46:$F$120,2,0),""))</f>
        <v/>
      </c>
      <c r="K28" s="210" t="str">
        <f>IFERROR(VLOOKUP($I28,'Institution Evaluation'!$A$55:$F$346,3,0),IFERROR(VLOOKUP($I28,'Privacy Analyst Evaluation'!$A$46:$F$120,3,0),""))&amp;""</f>
        <v/>
      </c>
      <c r="L28" s="210" t="str">
        <f>IFERROR(VLOOKUP($I28,'Institution Evaluation'!$A$55:$F$346,4,0),IFERROR(VLOOKUP($I28,'Privacy Analyst Evaluation'!$A$46:$F$120,4,0),""))&amp;""</f>
        <v/>
      </c>
      <c r="M28" s="210"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135" x14ac:dyDescent="0.2">
      <c r="A29" s="210">
        <f>IFERROR(IF($A28+1&gt;'(backend scoring)'!$T$335,"",$A28+1),"")</f>
        <v>5</v>
      </c>
      <c r="B29" s="210" t="str">
        <f>_xlfn.XLOOKUP($A29,'(backend scoring)'!$V$2:$V$333,'(backend scoring)'!$A$2:$A$333,"")</f>
        <v>ITAC-07</v>
      </c>
      <c r="C29" s="210" t="str">
        <f>IFERROR(VLOOKUP($B29,'Institution Evaluation'!$A$55:$F$346,2,0),IFERROR(VLOOKUP($B29,'Privacy Analyst Evaluation'!$A$46:$F$120,2,0),""))&amp;""</f>
        <v>Will your company agree to meet your stated accessibility standard or WCAG 2.1 AA as part of your contractual agreement for the solution?*</v>
      </c>
      <c r="D29" s="210" t="str">
        <f>IFERROR(VLOOKUP($B29,'Institution Evaluation'!$A$55:$F$346,3,0),IFERROR(VLOOKUP($B29,'Privacy Analyst Evaluation'!$A$46:$F$120,3,0),""))&amp;""</f>
        <v>No</v>
      </c>
      <c r="E29" s="210" t="str">
        <f>IFERROR(VLOOKUP($B29,'Institution Evaluation'!$A$55:$F$346,4,0),IFERROR(VLOOKUP($B29,'Privacy Analyst Evaluation'!$A$46:$F$120,4,0),""))&amp;""</f>
        <v>NSSE Shorts will make every effort to comply with WCAG 2.1 AA standards. See Qualtrics HECVAT 2025 for more details: https://bcsse.iu.edu/doc/bcsse/Qualtrics%20HECVAT%202025.xlsx</v>
      </c>
      <c r="F29" s="210" t="str">
        <f>IFERROR(VLOOKUP($B29,'Institution Evaluation'!$A$55:$F$346,6,0),IFERROR(VLOOKUP($B29,'Privacy Analyst Evaluation'!$A$46:$F$120,6,0),""))&amp;""</f>
        <v/>
      </c>
      <c r="G29" s="211"/>
      <c r="H29" s="210" t="str">
        <f>IFERROR(IF($H28+1&gt;'(backend scoring)'!$Q$335,"",$H28+1),"")</f>
        <v/>
      </c>
      <c r="I29" s="210" t="str">
        <f>_xlfn.XLOOKUP($H29,'(backend scoring)'!$S$2:$S$333,'(backend scoring)'!$A$2:$A$333,"")</f>
        <v/>
      </c>
      <c r="J29" s="210" t="str">
        <f>IFERROR(VLOOKUP($I29,'Institution Evaluation'!$A$55:$F$346,2,0),IFERROR(VLOOKUP($I29,'Privacy Analyst Evaluation'!$A$46:$F$120,2,0),""))</f>
        <v/>
      </c>
      <c r="K29" s="210" t="str">
        <f>IFERROR(VLOOKUP($I29,'Institution Evaluation'!$A$55:$F$346,3,0),IFERROR(VLOOKUP($I29,'Privacy Analyst Evaluation'!$A$46:$F$120,3,0),""))&amp;""</f>
        <v/>
      </c>
      <c r="L29" s="210" t="str">
        <f>IFERROR(VLOOKUP($I29,'Institution Evaluation'!$A$55:$F$346,4,0),IFERROR(VLOOKUP($I29,'Privacy Analyst Evaluation'!$A$46:$F$120,4,0),""))&amp;""</f>
        <v/>
      </c>
      <c r="M29" s="210"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105" x14ac:dyDescent="0.2">
      <c r="A30" s="210">
        <f>IFERROR(IF($A29+1&gt;'(backend scoring)'!$T$335,"",$A29+1),"")</f>
        <v>6</v>
      </c>
      <c r="B30" s="210" t="str">
        <f>_xlfn.XLOOKUP($A30,'(backend scoring)'!$V$2:$V$333,'(backend scoring)'!$A$2:$A$333,"")</f>
        <v>ITAC-08</v>
      </c>
      <c r="C30" s="210" t="str">
        <f>IFERROR(VLOOKUP($B30,'Institution Evaluation'!$A$55:$F$346,2,0),IFERROR(VLOOKUP($B30,'Privacy Analyst Evaluation'!$A$46:$F$120,2,0),""))&amp;""</f>
        <v>Does the solution substantially conform to WCAG 2.1 AA?*</v>
      </c>
      <c r="D30" s="210" t="str">
        <f>IFERROR(VLOOKUP($B30,'Institution Evaluation'!$A$55:$F$346,3,0),IFERROR(VLOOKUP($B30,'Privacy Analyst Evaluation'!$A$46:$F$120,3,0),""))&amp;""</f>
        <v>Yes</v>
      </c>
      <c r="E30" s="210" t="str">
        <f>IFERROR(VLOOKUP($B30,'Institution Evaluation'!$A$55:$F$346,4,0),IFERROR(VLOOKUP($B30,'Privacy Analyst Evaluation'!$A$46:$F$120,4,0),""))&amp;""</f>
        <v>NSSE Shorts will make every effort to comply with WCAG 2.1 AA standards. See Qualtrics https://www.qualtrics.com/commitment-to-accessibility/</v>
      </c>
      <c r="F30" s="210" t="str">
        <f>IFERROR(VLOOKUP($B30,'Institution Evaluation'!$A$55:$F$346,6,0),IFERROR(VLOOKUP($B30,'Privacy Analyst Evaluation'!$A$46:$F$120,6,0),""))&amp;""</f>
        <v/>
      </c>
      <c r="G30" s="211"/>
      <c r="H30" s="210" t="str">
        <f>IFERROR(IF($H29+1&gt;'(backend scoring)'!$Q$335,"",$H29+1),"")</f>
        <v/>
      </c>
      <c r="I30" s="210" t="str">
        <f>_xlfn.XLOOKUP($H30,'(backend scoring)'!$S$2:$S$333,'(backend scoring)'!$A$2:$A$333,"")</f>
        <v/>
      </c>
      <c r="J30" s="210" t="str">
        <f>IFERROR(VLOOKUP($I30,'Institution Evaluation'!$A$55:$F$346,2,0),IFERROR(VLOOKUP($I30,'Privacy Analyst Evaluation'!$A$46:$F$120,2,0),""))</f>
        <v/>
      </c>
      <c r="K30" s="210" t="str">
        <f>IFERROR(VLOOKUP($I30,'Institution Evaluation'!$A$55:$F$346,3,0),IFERROR(VLOOKUP($I30,'Privacy Analyst Evaluation'!$A$46:$F$120,3,0),""))&amp;""</f>
        <v/>
      </c>
      <c r="L30" s="210" t="str">
        <f>IFERROR(VLOOKUP($I30,'Institution Evaluation'!$A$55:$F$346,4,0),IFERROR(VLOOKUP($I30,'Privacy Analyst Evaluation'!$A$46:$F$120,4,0),""))&amp;""</f>
        <v/>
      </c>
      <c r="M30" s="210"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2">
      <c r="A31" s="210">
        <f>IFERROR(IF($A30+1&gt;'(backend scoring)'!$T$335,"",$A30+1),"")</f>
        <v>7</v>
      </c>
      <c r="B31" s="210" t="str">
        <f>_xlfn.XLOOKUP($A31,'(backend scoring)'!$V$2:$V$333,'(backend scoring)'!$A$2:$A$333,"")</f>
        <v>ITAC-09</v>
      </c>
      <c r="C31" s="210" t="str">
        <f>IFERROR(VLOOKUP($B31,'Institution Evaluation'!$A$55:$F$346,2,0),IFERROR(VLOOKUP($B31,'Privacy Analyst Evaluation'!$A$46:$F$120,2,0),""))&amp;""</f>
        <v>Do you have a documented and implemented process for reporting and tracking accessibility issues?*</v>
      </c>
      <c r="D31" s="210" t="str">
        <f>IFERROR(VLOOKUP($B31,'Institution Evaluation'!$A$55:$F$346,3,0),IFERROR(VLOOKUP($B31,'Privacy Analyst Evaluation'!$A$46:$F$120,3,0),""))&amp;""</f>
        <v>Yes</v>
      </c>
      <c r="E31" s="210" t="str">
        <f>IFERROR(VLOOKUP($B31,'Institution Evaluation'!$A$55:$F$346,4,0),IFERROR(VLOOKUP($B31,'Privacy Analyst Evaluation'!$A$46:$F$120,4,0),""))&amp;""</f>
        <v/>
      </c>
      <c r="F31" s="210" t="str">
        <f>IFERROR(VLOOKUP($B31,'Institution Evaluation'!$A$55:$F$346,6,0),IFERROR(VLOOKUP($B31,'Privacy Analyst Evaluation'!$A$46:$F$120,6,0),""))&amp;""</f>
        <v/>
      </c>
      <c r="G31" s="211"/>
      <c r="H31" s="210" t="str">
        <f>IFERROR(IF($H30+1&gt;'(backend scoring)'!$Q$335,"",$H30+1),"")</f>
        <v/>
      </c>
      <c r="I31" s="210" t="str">
        <f>_xlfn.XLOOKUP($H31,'(backend scoring)'!$S$2:$S$333,'(backend scoring)'!$A$2:$A$333,"")</f>
        <v/>
      </c>
      <c r="J31" s="210" t="str">
        <f>IFERROR(VLOOKUP($I31,'Institution Evaluation'!$A$55:$F$346,2,0),IFERROR(VLOOKUP($I31,'Privacy Analyst Evaluation'!$A$46:$F$120,2,0),""))</f>
        <v/>
      </c>
      <c r="K31" s="210" t="str">
        <f>IFERROR(VLOOKUP($I31,'Institution Evaluation'!$A$55:$F$346,3,0),IFERROR(VLOOKUP($I31,'Privacy Analyst Evaluation'!$A$46:$F$120,3,0),""))&amp;""</f>
        <v/>
      </c>
      <c r="L31" s="210" t="str">
        <f>IFERROR(VLOOKUP($I31,'Institution Evaluation'!$A$55:$F$346,4,0),IFERROR(VLOOKUP($I31,'Privacy Analyst Evaluation'!$A$46:$F$120,4,0),""))&amp;""</f>
        <v/>
      </c>
      <c r="M31" s="210"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105" x14ac:dyDescent="0.2">
      <c r="A32" s="210">
        <f>IFERROR(IF($A31+1&gt;'(backend scoring)'!$T$335,"",$A31+1),"")</f>
        <v>8</v>
      </c>
      <c r="B32" s="210" t="str">
        <f>_xlfn.XLOOKUP($A32,'(backend scoring)'!$V$2:$V$333,'(backend scoring)'!$A$2:$A$333,"")</f>
        <v>THRD-02</v>
      </c>
      <c r="C32" s="210" t="str">
        <f>IFERROR(VLOOKUP($B32,'Institution Evaluation'!$A$55:$F$346,2,0),IFERROR(VLOOKUP($B32,'Privacy Analyst Evaluation'!$A$46:$F$120,2,0),""))&amp;""</f>
        <v>Do you have contractual language in place with third parties governing access to institutional data?*</v>
      </c>
      <c r="D32" s="210" t="str">
        <f>IFERROR(VLOOKUP($B32,'Institution Evaluation'!$A$55:$F$346,3,0),IFERROR(VLOOKUP($B32,'Privacy Analyst Evaluation'!$A$46:$F$120,3,0),""))&amp;""</f>
        <v>No</v>
      </c>
      <c r="E32" s="210" t="str">
        <f>IFERROR(VLOOKUP($B32,'Institution Evaluation'!$A$55:$F$346,4,0),IFERROR(VLOOKUP($B32,'Privacy Analyst Evaluation'!$A$46:$F$120,4,0),""))&amp;""</f>
        <v>NSSE Shorts as a project does not. See Qualtrics HECVAT 2025 for more details: https://bcsse.iu.edu/doc/bcsse/Qualtrics%20HECVAT%202025.xlsx</v>
      </c>
      <c r="F32" s="210" t="str">
        <f>IFERROR(VLOOKUP($B32,'Institution Evaluation'!$A$55:$F$346,6,0),IFERROR(VLOOKUP($B32,'Privacy Analyst Evaluation'!$A$46:$F$120,6,0),""))&amp;""</f>
        <v/>
      </c>
      <c r="G32" s="211"/>
      <c r="H32" s="210" t="str">
        <f>IFERROR(IF($H31+1&gt;'(backend scoring)'!$Q$335,"",$H31+1),"")</f>
        <v/>
      </c>
      <c r="I32" s="210" t="str">
        <f>_xlfn.XLOOKUP($H32,'(backend scoring)'!$S$2:$S$333,'(backend scoring)'!$A$2:$A$333,"")</f>
        <v/>
      </c>
      <c r="J32" s="210" t="str">
        <f>IFERROR(VLOOKUP($I32,'Institution Evaluation'!$A$55:$F$346,2,0),IFERROR(VLOOKUP($I32,'Privacy Analyst Evaluation'!$A$46:$F$120,2,0),""))</f>
        <v/>
      </c>
      <c r="K32" s="210" t="str">
        <f>IFERROR(VLOOKUP($I32,'Institution Evaluation'!$A$55:$F$346,3,0),IFERROR(VLOOKUP($I32,'Privacy Analyst Evaluation'!$A$46:$F$120,3,0),""))&amp;""</f>
        <v/>
      </c>
      <c r="L32" s="210" t="str">
        <f>IFERROR(VLOOKUP($I32,'Institution Evaluation'!$A$55:$F$346,4,0),IFERROR(VLOOKUP($I32,'Privacy Analyst Evaluation'!$A$46:$F$120,4,0),""))&amp;""</f>
        <v/>
      </c>
      <c r="M32" s="210"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105" x14ac:dyDescent="0.2">
      <c r="A33" s="210">
        <f>IFERROR(IF($A32+1&gt;'(backend scoring)'!$T$335,"",$A32+1),"")</f>
        <v>9</v>
      </c>
      <c r="B33" s="210" t="str">
        <f>_xlfn.XLOOKUP($A33,'(backend scoring)'!$V$2:$V$333,'(backend scoring)'!$A$2:$A$333,"")</f>
        <v>THRD-01</v>
      </c>
      <c r="C33" s="210" t="str">
        <f>IFERROR(VLOOKUP($B33,'Institution Evaluation'!$A$55:$F$346,2,0),IFERROR(VLOOKUP($B33,'Privacy Analyst Evaluation'!$A$46:$F$120,2,0),""))&amp;""</f>
        <v>Do you perform security assessments of third-party companies with which you share data (e.g., hosting providers, cloud services, PaaS, IaaS, SaaS)?*</v>
      </c>
      <c r="D33" s="210" t="str">
        <f>IFERROR(VLOOKUP($B33,'Institution Evaluation'!$A$55:$F$346,3,0),IFERROR(VLOOKUP($B33,'Privacy Analyst Evaluation'!$A$46:$F$120,3,0),""))&amp;""</f>
        <v>No</v>
      </c>
      <c r="E33" s="210" t="str">
        <f>IFERROR(VLOOKUP($B33,'Institution Evaluation'!$A$55:$F$346,4,0),IFERROR(VLOOKUP($B33,'Privacy Analyst Evaluation'!$A$46:$F$120,4,0),""))&amp;""</f>
        <v>NSSE Shorts as a project does not. See Qualtrics HECVAT 2025 for more details: https://bcsse.iu.edu/doc/bcsse/Qualtrics%20HECVAT%202025.xlsx</v>
      </c>
      <c r="F33" s="210" t="str">
        <f>IFERROR(VLOOKUP($B33,'Institution Evaluation'!$A$55:$F$346,6,0),IFERROR(VLOOKUP($B33,'Privacy Analyst Evaluation'!$A$46:$F$120,6,0),""))&amp;""</f>
        <v/>
      </c>
      <c r="G33" s="211"/>
      <c r="H33" s="210" t="str">
        <f>IFERROR(IF($H32+1&gt;'(backend scoring)'!$Q$335,"",$H32+1),"")</f>
        <v/>
      </c>
      <c r="I33" s="210" t="str">
        <f>_xlfn.XLOOKUP($H33,'(backend scoring)'!$S$2:$S$333,'(backend scoring)'!$A$2:$A$333,"")</f>
        <v/>
      </c>
      <c r="J33" s="210" t="str">
        <f>IFERROR(VLOOKUP($I33,'Institution Evaluation'!$A$55:$F$346,2,0),IFERROR(VLOOKUP($I33,'Privacy Analyst Evaluation'!$A$46:$F$120,2,0),""))</f>
        <v/>
      </c>
      <c r="K33" s="210" t="str">
        <f>IFERROR(VLOOKUP($I33,'Institution Evaluation'!$A$55:$F$346,3,0),IFERROR(VLOOKUP($I33,'Privacy Analyst Evaluation'!$A$46:$F$120,3,0),""))&amp;""</f>
        <v/>
      </c>
      <c r="L33" s="210" t="str">
        <f>IFERROR(VLOOKUP($I33,'Institution Evaluation'!$A$55:$F$346,4,0),IFERROR(VLOOKUP($I33,'Privacy Analyst Evaluation'!$A$46:$F$120,4,0),""))&amp;""</f>
        <v/>
      </c>
      <c r="M33" s="210"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105" x14ac:dyDescent="0.2">
      <c r="A34" s="210">
        <f>IFERROR(IF($A33+1&gt;'(backend scoring)'!$T$335,"",$A33+1),"")</f>
        <v>10</v>
      </c>
      <c r="B34" s="210" t="str">
        <f>_xlfn.XLOOKUP($A34,'(backend scoring)'!$V$2:$V$333,'(backend scoring)'!$A$2:$A$333,"")</f>
        <v>THRD-03</v>
      </c>
      <c r="C34" s="210" t="str">
        <f>IFERROR(VLOOKUP($B34,'Institution Evaluation'!$A$55:$F$346,2,0),IFERROR(VLOOKUP($B34,'Privacy Analyst Evaluation'!$A$46:$F$120,2,0),""))&amp;""</f>
        <v>Do the contracts in place with these third parties address liability in the event of a data breach?*</v>
      </c>
      <c r="D34" s="210" t="str">
        <f>IFERROR(VLOOKUP($B34,'Institution Evaluation'!$A$55:$F$346,3,0),IFERROR(VLOOKUP($B34,'Privacy Analyst Evaluation'!$A$46:$F$120,3,0),""))&amp;""</f>
        <v>No</v>
      </c>
      <c r="E34" s="210" t="str">
        <f>IFERROR(VLOOKUP($B34,'Institution Evaluation'!$A$55:$F$346,4,0),IFERROR(VLOOKUP($B34,'Privacy Analyst Evaluation'!$A$46:$F$120,4,0),""))&amp;""</f>
        <v>NSSE Shorts as a project does not. See Qualtrics HECVAT 2025 for more details: https://bcsse.iu.edu/doc/bcsse/Qualtrics%20HECVAT%202025.xlsx</v>
      </c>
      <c r="F34" s="210" t="str">
        <f>IFERROR(VLOOKUP($B34,'Institution Evaluation'!$A$55:$F$346,6,0),IFERROR(VLOOKUP($B34,'Privacy Analyst Evaluation'!$A$46:$F$120,6,0),""))&amp;""</f>
        <v/>
      </c>
      <c r="G34" s="211"/>
      <c r="H34" s="210" t="str">
        <f>IFERROR(IF($H33+1&gt;'(backend scoring)'!$Q$335,"",$H33+1),"")</f>
        <v/>
      </c>
      <c r="I34" s="210" t="str">
        <f>_xlfn.XLOOKUP($H34,'(backend scoring)'!$S$2:$S$333,'(backend scoring)'!$A$2:$A$333,"")</f>
        <v/>
      </c>
      <c r="J34" s="210" t="str">
        <f>IFERROR(VLOOKUP($I34,'Institution Evaluation'!$A$55:$F$346,2,0),IFERROR(VLOOKUP($I34,'Privacy Analyst Evaluation'!$A$46:$F$120,2,0),""))</f>
        <v/>
      </c>
      <c r="K34" s="210" t="str">
        <f>IFERROR(VLOOKUP($I34,'Institution Evaluation'!$A$55:$F$346,3,0),IFERROR(VLOOKUP($I34,'Privacy Analyst Evaluation'!$A$46:$F$120,3,0),""))&amp;""</f>
        <v/>
      </c>
      <c r="L34" s="210" t="str">
        <f>IFERROR(VLOOKUP($I34,'Institution Evaluation'!$A$55:$F$346,4,0),IFERROR(VLOOKUP($I34,'Privacy Analyst Evaluation'!$A$46:$F$120,4,0),""))&amp;""</f>
        <v/>
      </c>
      <c r="M34" s="210"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105" x14ac:dyDescent="0.2">
      <c r="A35" s="210">
        <f>IFERROR(IF($A34+1&gt;'(backend scoring)'!$T$335,"",$A34+1),"")</f>
        <v>11</v>
      </c>
      <c r="B35" s="210" t="str">
        <f>_xlfn.XLOOKUP($A35,'(backend scoring)'!$V$2:$V$333,'(backend scoring)'!$A$2:$A$333,"")</f>
        <v>THRD-04</v>
      </c>
      <c r="C35" s="210" t="str">
        <f>IFERROR(VLOOKUP($B35,'Institution Evaluation'!$A$55:$F$346,2,0),IFERROR(VLOOKUP($B35,'Privacy Analyst Evaluation'!$A$46:$F$120,2,0),""))&amp;""</f>
        <v>Do you have an implemented third-party management strategy?*</v>
      </c>
      <c r="D35" s="210" t="str">
        <f>IFERROR(VLOOKUP($B35,'Institution Evaluation'!$A$55:$F$346,3,0),IFERROR(VLOOKUP($B35,'Privacy Analyst Evaluation'!$A$46:$F$120,3,0),""))&amp;""</f>
        <v>No</v>
      </c>
      <c r="E35" s="210" t="str">
        <f>IFERROR(VLOOKUP($B35,'Institution Evaluation'!$A$55:$F$346,4,0),IFERROR(VLOOKUP($B35,'Privacy Analyst Evaluation'!$A$46:$F$120,4,0),""))&amp;""</f>
        <v>NSSE Shorts as a project does not. See Qualtrics HECVAT 2025 for more details: https://bcsse.iu.edu/doc/bcsse/Qualtrics%20HECVAT%202025.xlsx</v>
      </c>
      <c r="F35" s="210" t="str">
        <f>IFERROR(VLOOKUP($B35,'Institution Evaluation'!$A$55:$F$346,6,0),IFERROR(VLOOKUP($B35,'Privacy Analyst Evaluation'!$A$46:$F$120,6,0),""))&amp;""</f>
        <v/>
      </c>
      <c r="G35" s="211"/>
      <c r="H35" s="210" t="str">
        <f>IFERROR(IF($H34+1&gt;'(backend scoring)'!$Q$335,"",$H34+1),"")</f>
        <v/>
      </c>
      <c r="I35" s="210" t="str">
        <f>_xlfn.XLOOKUP($H35,'(backend scoring)'!$S$2:$S$333,'(backend scoring)'!$A$2:$A$333,"")</f>
        <v/>
      </c>
      <c r="J35" s="210" t="str">
        <f>IFERROR(VLOOKUP($I35,'Institution Evaluation'!$A$55:$F$346,2,0),IFERROR(VLOOKUP($I35,'Privacy Analyst Evaluation'!$A$46:$F$120,2,0),""))</f>
        <v/>
      </c>
      <c r="K35" s="210" t="str">
        <f>IFERROR(VLOOKUP($I35,'Institution Evaluation'!$A$55:$F$346,3,0),IFERROR(VLOOKUP($I35,'Privacy Analyst Evaluation'!$A$46:$F$120,3,0),""))&amp;""</f>
        <v/>
      </c>
      <c r="L35" s="210" t="str">
        <f>IFERROR(VLOOKUP($I35,'Institution Evaluation'!$A$55:$F$346,4,0),IFERROR(VLOOKUP($I35,'Privacy Analyst Evaluation'!$A$46:$F$120,4,0),""))&amp;""</f>
        <v/>
      </c>
      <c r="M35" s="210"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2">
      <c r="A36" s="210">
        <f>IFERROR(IF($A35+1&gt;'(backend scoring)'!$T$335,"",$A35+1),"")</f>
        <v>12</v>
      </c>
      <c r="B36" s="210" t="str">
        <f>_xlfn.XLOOKUP($A36,'(backend scoring)'!$V$2:$V$333,'(backend scoring)'!$A$2:$A$333,"")</f>
        <v>CONS-01</v>
      </c>
      <c r="C36" s="210" t="str">
        <f>IFERROR(VLOOKUP($B36,'Institution Evaluation'!$A$55:$F$346,2,0),IFERROR(VLOOKUP($B36,'Privacy Analyst Evaluation'!$A$46:$F$120,2,0),""))&amp;""</f>
        <v>Will the consultant require access to the institution's network resources?*</v>
      </c>
      <c r="D36" s="210" t="str">
        <f>IFERROR(VLOOKUP($B36,'Institution Evaluation'!$A$55:$F$346,3,0),IFERROR(VLOOKUP($B36,'Privacy Analyst Evaluation'!$A$46:$F$120,3,0),""))&amp;""</f>
        <v/>
      </c>
      <c r="E36" s="210" t="str">
        <f>IFERROR(VLOOKUP($B36,'Institution Evaluation'!$A$55:$F$346,4,0),IFERROR(VLOOKUP($B36,'Privacy Analyst Evaluation'!$A$46:$F$120,4,0),""))&amp;""</f>
        <v>This question does not apply.</v>
      </c>
      <c r="F36" s="210" t="str">
        <f>IFERROR(VLOOKUP($B36,'Institution Evaluation'!$A$55:$F$346,6,0),IFERROR(VLOOKUP($B36,'Privacy Analyst Evaluation'!$A$46:$F$120,6,0),""))&amp;""</f>
        <v/>
      </c>
      <c r="G36" s="211"/>
      <c r="H36" s="210" t="str">
        <f>IFERROR(IF($H35+1&gt;'(backend scoring)'!$Q$335,"",$H35+1),"")</f>
        <v/>
      </c>
      <c r="I36" s="210" t="str">
        <f>_xlfn.XLOOKUP($H36,'(backend scoring)'!$S$2:$S$333,'(backend scoring)'!$A$2:$A$333,"")</f>
        <v/>
      </c>
      <c r="J36" s="210" t="str">
        <f>IFERROR(VLOOKUP($I36,'Institution Evaluation'!$A$55:$F$346,2,0),IFERROR(VLOOKUP($I36,'Privacy Analyst Evaluation'!$A$46:$F$120,2,0),""))</f>
        <v/>
      </c>
      <c r="K36" s="210" t="str">
        <f>IFERROR(VLOOKUP($I36,'Institution Evaluation'!$A$55:$F$346,3,0),IFERROR(VLOOKUP($I36,'Privacy Analyst Evaluation'!$A$46:$F$120,3,0),""))&amp;""</f>
        <v/>
      </c>
      <c r="L36" s="210" t="str">
        <f>IFERROR(VLOOKUP($I36,'Institution Evaluation'!$A$55:$F$346,4,0),IFERROR(VLOOKUP($I36,'Privacy Analyst Evaluation'!$A$46:$F$120,4,0),""))&amp;""</f>
        <v/>
      </c>
      <c r="M36" s="210"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2">
      <c r="A37" s="210">
        <f>IFERROR(IF($A36+1&gt;'(backend scoring)'!$T$335,"",$A36+1),"")</f>
        <v>13</v>
      </c>
      <c r="B37" s="210" t="str">
        <f>_xlfn.XLOOKUP($A37,'(backend scoring)'!$V$2:$V$333,'(backend scoring)'!$A$2:$A$333,"")</f>
        <v>CONS-02</v>
      </c>
      <c r="C37" s="210" t="str">
        <f>IFERROR(VLOOKUP($B37,'Institution Evaluation'!$A$55:$F$346,2,0),IFERROR(VLOOKUP($B37,'Privacy Analyst Evaluation'!$A$46:$F$120,2,0),""))&amp;""</f>
        <v>Has the consultant received training on (sensitive, HIPAA, PCI, etc.) data handling?*</v>
      </c>
      <c r="D37" s="210" t="str">
        <f>IFERROR(VLOOKUP($B37,'Institution Evaluation'!$A$55:$F$346,3,0),IFERROR(VLOOKUP($B37,'Privacy Analyst Evaluation'!$A$46:$F$120,3,0),""))&amp;""</f>
        <v/>
      </c>
      <c r="E37" s="210" t="str">
        <f>IFERROR(VLOOKUP($B37,'Institution Evaluation'!$A$55:$F$346,4,0),IFERROR(VLOOKUP($B37,'Privacy Analyst Evaluation'!$A$46:$F$120,4,0),""))&amp;""</f>
        <v>This question does not apply.</v>
      </c>
      <c r="F37" s="210" t="str">
        <f>IFERROR(VLOOKUP($B37,'Institution Evaluation'!$A$55:$F$346,6,0),IFERROR(VLOOKUP($B37,'Privacy Analyst Evaluation'!$A$46:$F$120,6,0),""))&amp;""</f>
        <v/>
      </c>
      <c r="G37" s="211"/>
      <c r="H37" s="210" t="str">
        <f>IFERROR(IF($H36+1&gt;'(backend scoring)'!$Q$335,"",$H36+1),"")</f>
        <v/>
      </c>
      <c r="I37" s="210" t="str">
        <f>_xlfn.XLOOKUP($H37,'(backend scoring)'!$S$2:$S$333,'(backend scoring)'!$A$2:$A$333,"")</f>
        <v/>
      </c>
      <c r="J37" s="210" t="str">
        <f>IFERROR(VLOOKUP($I37,'Institution Evaluation'!$A$55:$F$346,2,0),IFERROR(VLOOKUP($I37,'Privacy Analyst Evaluation'!$A$46:$F$120,2,0),""))</f>
        <v/>
      </c>
      <c r="K37" s="210" t="str">
        <f>IFERROR(VLOOKUP($I37,'Institution Evaluation'!$A$55:$F$346,3,0),IFERROR(VLOOKUP($I37,'Privacy Analyst Evaluation'!$A$46:$F$120,3,0),""))&amp;""</f>
        <v/>
      </c>
      <c r="L37" s="210" t="str">
        <f>IFERROR(VLOOKUP($I37,'Institution Evaluation'!$A$55:$F$346,4,0),IFERROR(VLOOKUP($I37,'Privacy Analyst Evaluation'!$A$46:$F$120,4,0),""))&amp;""</f>
        <v/>
      </c>
      <c r="M37" s="210"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210">
        <f>IFERROR(IF($A37+1&gt;'(backend scoring)'!$T$335,"",$A37+1),"")</f>
        <v>14</v>
      </c>
      <c r="B38" s="210" t="str">
        <f>_xlfn.XLOOKUP($A38,'(backend scoring)'!$V$2:$V$333,'(backend scoring)'!$A$2:$A$333,"")</f>
        <v>CONS-03</v>
      </c>
      <c r="C38" s="210" t="str">
        <f>IFERROR(VLOOKUP($B38,'Institution Evaluation'!$A$55:$F$346,2,0),IFERROR(VLOOKUP($B38,'Privacy Analyst Evaluation'!$A$46:$F$120,2,0),""))&amp;""</f>
        <v>Is the data encrypted (at rest) while in the consultant's possession?*</v>
      </c>
      <c r="D38" s="210" t="str">
        <f>IFERROR(VLOOKUP($B38,'Institution Evaluation'!$A$55:$F$346,3,0),IFERROR(VLOOKUP($B38,'Privacy Analyst Evaluation'!$A$46:$F$120,3,0),""))&amp;""</f>
        <v/>
      </c>
      <c r="E38" s="210" t="str">
        <f>IFERROR(VLOOKUP($B38,'Institution Evaluation'!$A$55:$F$346,4,0),IFERROR(VLOOKUP($B38,'Privacy Analyst Evaluation'!$A$46:$F$120,4,0),""))&amp;""</f>
        <v>This question does not apply.</v>
      </c>
      <c r="F38" s="210" t="str">
        <f>IFERROR(VLOOKUP($B38,'Institution Evaluation'!$A$55:$F$346,6,0),IFERROR(VLOOKUP($B38,'Privacy Analyst Evaluation'!$A$46:$F$120,6,0),""))&amp;""</f>
        <v/>
      </c>
      <c r="G38" s="211"/>
      <c r="H38" s="210" t="str">
        <f>IFERROR(IF($H37+1&gt;'(backend scoring)'!$Q$335,"",$H37+1),"")</f>
        <v/>
      </c>
      <c r="I38" s="210" t="str">
        <f>_xlfn.XLOOKUP($H38,'(backend scoring)'!$S$2:$S$333,'(backend scoring)'!$A$2:$A$333,"")</f>
        <v/>
      </c>
      <c r="J38" s="210" t="str">
        <f>IFERROR(VLOOKUP($I38,'Institution Evaluation'!$A$55:$F$346,2,0),IFERROR(VLOOKUP($I38,'Privacy Analyst Evaluation'!$A$46:$F$120,2,0),""))</f>
        <v/>
      </c>
      <c r="K38" s="210" t="str">
        <f>IFERROR(VLOOKUP($I38,'Institution Evaluation'!$A$55:$F$346,3,0),IFERROR(VLOOKUP($I38,'Privacy Analyst Evaluation'!$A$46:$F$120,3,0),""))&amp;""</f>
        <v/>
      </c>
      <c r="L38" s="210" t="str">
        <f>IFERROR(VLOOKUP($I38,'Institution Evaluation'!$A$55:$F$346,4,0),IFERROR(VLOOKUP($I38,'Privacy Analyst Evaluation'!$A$46:$F$120,4,0),""))&amp;""</f>
        <v/>
      </c>
      <c r="M38" s="210"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x14ac:dyDescent="0.2">
      <c r="A39" s="210">
        <f>IFERROR(IF($A38+1&gt;'(backend scoring)'!$T$335,"",$A38+1),"")</f>
        <v>15</v>
      </c>
      <c r="B39" s="210" t="str">
        <f>_xlfn.XLOOKUP($A39,'(backend scoring)'!$V$2:$V$333,'(backend scoring)'!$A$2:$A$333,"")</f>
        <v>CONS-04</v>
      </c>
      <c r="C39" s="210" t="str">
        <f>IFERROR(VLOOKUP($B39,'Institution Evaluation'!$A$55:$F$346,2,0),IFERROR(VLOOKUP($B39,'Privacy Analyst Evaluation'!$A$46:$F$120,2,0),""))&amp;""</f>
        <v>Can access be restricted based on source IP address?*</v>
      </c>
      <c r="D39" s="210" t="str">
        <f>IFERROR(VLOOKUP($B39,'Institution Evaluation'!$A$55:$F$346,3,0),IFERROR(VLOOKUP($B39,'Privacy Analyst Evaluation'!$A$46:$F$120,3,0),""))&amp;""</f>
        <v/>
      </c>
      <c r="E39" s="210" t="str">
        <f>IFERROR(VLOOKUP($B39,'Institution Evaluation'!$A$55:$F$346,4,0),IFERROR(VLOOKUP($B39,'Privacy Analyst Evaluation'!$A$46:$F$120,4,0),""))&amp;""</f>
        <v>This question does not apply.</v>
      </c>
      <c r="F39" s="210" t="str">
        <f>IFERROR(VLOOKUP($B39,'Institution Evaluation'!$A$55:$F$346,6,0),IFERROR(VLOOKUP($B39,'Privacy Analyst Evaluation'!$A$46:$F$120,6,0),""))&amp;""</f>
        <v/>
      </c>
      <c r="G39" s="211"/>
      <c r="H39" s="210" t="str">
        <f>IFERROR(IF($H38+1&gt;'(backend scoring)'!$Q$335,"",$H38+1),"")</f>
        <v/>
      </c>
      <c r="I39" s="210" t="str">
        <f>_xlfn.XLOOKUP($H39,'(backend scoring)'!$S$2:$S$333,'(backend scoring)'!$A$2:$A$333,"")</f>
        <v/>
      </c>
      <c r="J39" s="210" t="str">
        <f>IFERROR(VLOOKUP($I39,'Institution Evaluation'!$A$55:$F$346,2,0),IFERROR(VLOOKUP($I39,'Privacy Analyst Evaluation'!$A$46:$F$120,2,0),""))</f>
        <v/>
      </c>
      <c r="K39" s="210" t="str">
        <f>IFERROR(VLOOKUP($I39,'Institution Evaluation'!$A$55:$F$346,3,0),IFERROR(VLOOKUP($I39,'Privacy Analyst Evaluation'!$A$46:$F$120,3,0),""))&amp;""</f>
        <v/>
      </c>
      <c r="L39" s="210" t="str">
        <f>IFERROR(VLOOKUP($I39,'Institution Evaluation'!$A$55:$F$346,4,0),IFERROR(VLOOKUP($I39,'Privacy Analyst Evaluation'!$A$46:$F$120,4,0),""))&amp;""</f>
        <v/>
      </c>
      <c r="M39" s="210"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x14ac:dyDescent="0.2">
      <c r="A40" s="210">
        <f>IFERROR(IF($A39+1&gt;'(backend scoring)'!$T$335,"",$A39+1),"")</f>
        <v>16</v>
      </c>
      <c r="B40" s="210" t="str">
        <f>_xlfn.XLOOKUP($A40,'(backend scoring)'!$V$2:$V$333,'(backend scoring)'!$A$2:$A$333,"")</f>
        <v>APPL-01</v>
      </c>
      <c r="C40" s="210"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0" t="str">
        <f>IFERROR(VLOOKUP($B40,'Institution Evaluation'!$A$55:$F$346,3,0),IFERROR(VLOOKUP($B40,'Privacy Analyst Evaluation'!$A$46:$F$120,3,0),""))&amp;""</f>
        <v>Yes</v>
      </c>
      <c r="E40" s="210" t="str">
        <f>IFERROR(VLOOKUP($B40,'Institution Evaluation'!$A$55:$F$346,4,0),IFERROR(VLOOKUP($B40,'Privacy Analyst Evaluation'!$A$46:$F$120,4,0),""))&amp;""</f>
        <v>NSSE Shorts control user access management, including permissions assigned.</v>
      </c>
      <c r="F40" s="210" t="str">
        <f>IFERROR(VLOOKUP($B40,'Institution Evaluation'!$A$55:$F$346,6,0),IFERROR(VLOOKUP($B40,'Privacy Analyst Evaluation'!$A$46:$F$120,6,0),""))&amp;""</f>
        <v/>
      </c>
      <c r="G40" s="211"/>
      <c r="H40" s="210" t="str">
        <f>IFERROR(IF($H39+1&gt;'(backend scoring)'!$Q$335,"",$H39+1),"")</f>
        <v/>
      </c>
      <c r="I40" s="210" t="str">
        <f>_xlfn.XLOOKUP($H40,'(backend scoring)'!$S$2:$S$333,'(backend scoring)'!$A$2:$A$333,"")</f>
        <v/>
      </c>
      <c r="J40" s="210" t="str">
        <f>IFERROR(VLOOKUP($I40,'Institution Evaluation'!$A$55:$F$346,2,0),IFERROR(VLOOKUP($I40,'Privacy Analyst Evaluation'!$A$46:$F$120,2,0),""))</f>
        <v/>
      </c>
      <c r="K40" s="210" t="str">
        <f>IFERROR(VLOOKUP($I40,'Institution Evaluation'!$A$55:$F$346,3,0),IFERROR(VLOOKUP($I40,'Privacy Analyst Evaluation'!$A$46:$F$120,3,0),""))&amp;""</f>
        <v/>
      </c>
      <c r="L40" s="210" t="str">
        <f>IFERROR(VLOOKUP($I40,'Institution Evaluation'!$A$55:$F$346,4,0),IFERROR(VLOOKUP($I40,'Privacy Analyst Evaluation'!$A$46:$F$120,4,0),""))&amp;""</f>
        <v/>
      </c>
      <c r="M40" s="210"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240" x14ac:dyDescent="0.2">
      <c r="A41" s="210">
        <f>IFERROR(IF($A40+1&gt;'(backend scoring)'!$T$335,"",$A40+1),"")</f>
        <v>17</v>
      </c>
      <c r="B41" s="210" t="str">
        <f>_xlfn.XLOOKUP($A41,'(backend scoring)'!$V$2:$V$333,'(backend scoring)'!$A$2:$A$333,"")</f>
        <v>APPL-02</v>
      </c>
      <c r="C41" s="210" t="str">
        <f>IFERROR(VLOOKUP($B41,'Institution Evaluation'!$A$55:$F$346,2,0),IFERROR(VLOOKUP($B41,'Privacy Analyst Evaluation'!$A$46:$F$120,2,0),""))&amp;""</f>
        <v>Are you using a web application firewall (WAF)?*</v>
      </c>
      <c r="D41" s="210" t="str">
        <f>IFERROR(VLOOKUP($B41,'Institution Evaluation'!$A$55:$F$346,3,0),IFERROR(VLOOKUP($B41,'Privacy Analyst Evaluation'!$A$46:$F$120,3,0),""))&amp;""</f>
        <v>Yes</v>
      </c>
      <c r="E41" s="210" t="str">
        <f>IFERROR(VLOOKUP($B41,'Institution Evaluation'!$A$55:$F$346,4,0),IFERROR(VLOOKUP($B41,'Privacy Analyst Evaluation'!$A$46:$F$120,4,0),""))&amp;""</f>
        <v>Qualtrics takes a multi-tier approach to protect systems that host the Services and Data. Qualtrics employs a web application firewall for protection against DDoS and web application attacks. Any detected attack—including application-layer DDoS, SQL injection and XSS—will be thwarted, and traffic will be dropped or rerouted, so downtime is minimal</v>
      </c>
      <c r="F41" s="210" t="str">
        <f>IFERROR(VLOOKUP($B41,'Institution Evaluation'!$A$55:$F$346,6,0),IFERROR(VLOOKUP($B41,'Privacy Analyst Evaluation'!$A$46:$F$120,6,0),""))&amp;""</f>
        <v/>
      </c>
      <c r="G41" s="211"/>
      <c r="H41" s="210" t="str">
        <f>IFERROR(IF($H40+1&gt;'(backend scoring)'!$Q$335,"",$H40+1),"")</f>
        <v/>
      </c>
      <c r="I41" s="210" t="str">
        <f>_xlfn.XLOOKUP($H41,'(backend scoring)'!$S$2:$S$333,'(backend scoring)'!$A$2:$A$333,"")</f>
        <v/>
      </c>
      <c r="J41" s="210" t="str">
        <f>IFERROR(VLOOKUP($I41,'Institution Evaluation'!$A$55:$F$346,2,0),IFERROR(VLOOKUP($I41,'Privacy Analyst Evaluation'!$A$46:$F$120,2,0),""))</f>
        <v/>
      </c>
      <c r="K41" s="210" t="str">
        <f>IFERROR(VLOOKUP($I41,'Institution Evaluation'!$A$55:$F$346,3,0),IFERROR(VLOOKUP($I41,'Privacy Analyst Evaluation'!$A$46:$F$120,3,0),""))&amp;""</f>
        <v/>
      </c>
      <c r="L41" s="210" t="str">
        <f>IFERROR(VLOOKUP($I41,'Institution Evaluation'!$A$55:$F$346,4,0),IFERROR(VLOOKUP($I41,'Privacy Analyst Evaluation'!$A$46:$F$120,4,0),""))&amp;""</f>
        <v/>
      </c>
      <c r="M41" s="210"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x14ac:dyDescent="0.2">
      <c r="A42" s="210">
        <f>IFERROR(IF($A41+1&gt;'(backend scoring)'!$T$335,"",$A41+1),"")</f>
        <v>18</v>
      </c>
      <c r="B42" s="210" t="str">
        <f>_xlfn.XLOOKUP($A42,'(backend scoring)'!$V$2:$V$333,'(backend scoring)'!$A$2:$A$333,"")</f>
        <v>APPL-03</v>
      </c>
      <c r="C42" s="210" t="str">
        <f>IFERROR(VLOOKUP($B42,'Institution Evaluation'!$A$55:$F$346,2,0),IFERROR(VLOOKUP($B42,'Privacy Analyst Evaluation'!$A$46:$F$120,2,0),""))&amp;""</f>
        <v>Are only currently supported operating system(s), software, and libraries leveraged by the system(s)/application(s) that will have access to institution's data?*</v>
      </c>
      <c r="D42" s="210" t="str">
        <f>IFERROR(VLOOKUP($B42,'Institution Evaluation'!$A$55:$F$346,3,0),IFERROR(VLOOKUP($B42,'Privacy Analyst Evaluation'!$A$46:$F$120,3,0),""))&amp;""</f>
        <v>Yes</v>
      </c>
      <c r="E42" s="210" t="str">
        <f>IFERROR(VLOOKUP($B42,'Institution Evaluation'!$A$55:$F$346,4,0),IFERROR(VLOOKUP($B42,'Privacy Analyst Evaluation'!$A$46:$F$120,4,0),""))&amp;""</f>
        <v/>
      </c>
      <c r="F42" s="210" t="str">
        <f>IFERROR(VLOOKUP($B42,'Institution Evaluation'!$A$55:$F$346,6,0),IFERROR(VLOOKUP($B42,'Privacy Analyst Evaluation'!$A$46:$F$120,6,0),""))&amp;""</f>
        <v/>
      </c>
      <c r="G42" s="211"/>
      <c r="H42" s="210" t="str">
        <f>IFERROR(IF($H41+1&gt;'(backend scoring)'!$Q$335,"",$H41+1),"")</f>
        <v/>
      </c>
      <c r="I42" s="210" t="str">
        <f>_xlfn.XLOOKUP($H42,'(backend scoring)'!$S$2:$S$333,'(backend scoring)'!$A$2:$A$333,"")</f>
        <v/>
      </c>
      <c r="J42" s="210" t="str">
        <f>IFERROR(VLOOKUP($I42,'Institution Evaluation'!$A$55:$F$346,2,0),IFERROR(VLOOKUP($I42,'Privacy Analyst Evaluation'!$A$46:$F$120,2,0),""))</f>
        <v/>
      </c>
      <c r="K42" s="210" t="str">
        <f>IFERROR(VLOOKUP($I42,'Institution Evaluation'!$A$55:$F$346,3,0),IFERROR(VLOOKUP($I42,'Privacy Analyst Evaluation'!$A$46:$F$120,3,0),""))&amp;""</f>
        <v/>
      </c>
      <c r="L42" s="210" t="str">
        <f>IFERROR(VLOOKUP($I42,'Institution Evaluation'!$A$55:$F$346,4,0),IFERROR(VLOOKUP($I42,'Privacy Analyst Evaluation'!$A$46:$F$120,4,0),""))&amp;""</f>
        <v/>
      </c>
      <c r="M42" s="210"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75" x14ac:dyDescent="0.2">
      <c r="A43" s="210">
        <f>IFERROR(IF($A42+1&gt;'(backend scoring)'!$T$335,"",$A42+1),"")</f>
        <v>19</v>
      </c>
      <c r="B43" s="210" t="str">
        <f>_xlfn.XLOOKUP($A43,'(backend scoring)'!$V$2:$V$333,'(backend scoring)'!$A$2:$A$333,"")</f>
        <v>APPL-04</v>
      </c>
      <c r="C43" s="210" t="str">
        <f>IFERROR(VLOOKUP($B43,'Institution Evaluation'!$A$55:$F$346,2,0),IFERROR(VLOOKUP($B43,'Privacy Analyst Evaluation'!$A$46:$F$120,2,0),""))&amp;""</f>
        <v>Does your application require access to location or GPS data?*</v>
      </c>
      <c r="D43" s="210" t="str">
        <f>IFERROR(VLOOKUP($B43,'Institution Evaluation'!$A$55:$F$346,3,0),IFERROR(VLOOKUP($B43,'Privacy Analyst Evaluation'!$A$46:$F$120,3,0),""))&amp;""</f>
        <v>Yes</v>
      </c>
      <c r="E43" s="210" t="str">
        <f>IFERROR(VLOOKUP($B43,'Institution Evaluation'!$A$55:$F$346,4,0),IFERROR(VLOOKUP($B43,'Privacy Analyst Evaluation'!$A$46:$F$120,4,0),""))&amp;""</f>
        <v>See Qualtrics HECVAT 2025 for more details: https://bcsse.iu.edu/doc/bcsse/Qualtrics%20HECVAT%202025.xlsx</v>
      </c>
      <c r="F43" s="210" t="str">
        <f>IFERROR(VLOOKUP($B43,'Institution Evaluation'!$A$55:$F$346,6,0),IFERROR(VLOOKUP($B43,'Privacy Analyst Evaluation'!$A$46:$F$120,6,0),""))&amp;""</f>
        <v/>
      </c>
      <c r="G43" s="211"/>
      <c r="H43" s="210" t="str">
        <f>IFERROR(IF($H42+1&gt;'(backend scoring)'!$Q$335,"",$H42+1),"")</f>
        <v/>
      </c>
      <c r="I43" s="210" t="str">
        <f>_xlfn.XLOOKUP($H43,'(backend scoring)'!$S$2:$S$333,'(backend scoring)'!$A$2:$A$333,"")</f>
        <v/>
      </c>
      <c r="J43" s="210" t="str">
        <f>IFERROR(VLOOKUP($I43,'Institution Evaluation'!$A$55:$F$346,2,0),IFERROR(VLOOKUP($I43,'Privacy Analyst Evaluation'!$A$46:$F$120,2,0),""))</f>
        <v/>
      </c>
      <c r="K43" s="210" t="str">
        <f>IFERROR(VLOOKUP($I43,'Institution Evaluation'!$A$55:$F$346,3,0),IFERROR(VLOOKUP($I43,'Privacy Analyst Evaluation'!$A$46:$F$120,3,0),""))&amp;""</f>
        <v/>
      </c>
      <c r="L43" s="210" t="str">
        <f>IFERROR(VLOOKUP($I43,'Institution Evaluation'!$A$55:$F$346,4,0),IFERROR(VLOOKUP($I43,'Privacy Analyst Evaluation'!$A$46:$F$120,4,0),""))&amp;""</f>
        <v/>
      </c>
      <c r="M43" s="210"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105" x14ac:dyDescent="0.2">
      <c r="A44" s="210">
        <f>IFERROR(IF($A43+1&gt;'(backend scoring)'!$T$335,"",$A43+1),"")</f>
        <v>20</v>
      </c>
      <c r="B44" s="210" t="str">
        <f>_xlfn.XLOOKUP($A44,'(backend scoring)'!$V$2:$V$333,'(backend scoring)'!$A$2:$A$333,"")</f>
        <v>APPL-05</v>
      </c>
      <c r="C44" s="210" t="str">
        <f>IFERROR(VLOOKUP($B44,'Institution Evaluation'!$A$55:$F$346,2,0),IFERROR(VLOOKUP($B44,'Privacy Analyst Evaluation'!$A$46:$F$120,2,0),""))&amp;""</f>
        <v>Does your application provide separation of duties between security administration, system administration, and standard user functions?*</v>
      </c>
      <c r="D44" s="210" t="str">
        <f>IFERROR(VLOOKUP($B44,'Institution Evaluation'!$A$55:$F$346,3,0),IFERROR(VLOOKUP($B44,'Privacy Analyst Evaluation'!$A$46:$F$120,3,0),""))&amp;""</f>
        <v>Yes</v>
      </c>
      <c r="E44" s="210" t="str">
        <f>IFERROR(VLOOKUP($B44,'Institution Evaluation'!$A$55:$F$346,4,0),IFERROR(VLOOKUP($B44,'Privacy Analyst Evaluation'!$A$46:$F$120,4,0),""))&amp;""</f>
        <v>Security and systems administration are separated by role. Users are assigned privileges based on their role and under the principle of least privileged access.</v>
      </c>
      <c r="F44" s="210" t="str">
        <f>IFERROR(VLOOKUP($B44,'Institution Evaluation'!$A$55:$F$346,6,0),IFERROR(VLOOKUP($B44,'Privacy Analyst Evaluation'!$A$46:$F$120,6,0),""))&amp;""</f>
        <v/>
      </c>
      <c r="G44" s="211"/>
      <c r="H44" s="210" t="str">
        <f>IFERROR(IF($H43+1&gt;'(backend scoring)'!$Q$335,"",$H43+1),"")</f>
        <v/>
      </c>
      <c r="I44" s="210" t="str">
        <f>_xlfn.XLOOKUP($H44,'(backend scoring)'!$S$2:$S$333,'(backend scoring)'!$A$2:$A$333,"")</f>
        <v/>
      </c>
      <c r="J44" s="210" t="str">
        <f>IFERROR(VLOOKUP($I44,'Institution Evaluation'!$A$55:$F$346,2,0),IFERROR(VLOOKUP($I44,'Privacy Analyst Evaluation'!$A$46:$F$120,2,0),""))</f>
        <v/>
      </c>
      <c r="K44" s="210" t="str">
        <f>IFERROR(VLOOKUP($I44,'Institution Evaluation'!$A$55:$F$346,3,0),IFERROR(VLOOKUP($I44,'Privacy Analyst Evaluation'!$A$46:$F$120,3,0),""))&amp;""</f>
        <v/>
      </c>
      <c r="L44" s="210" t="str">
        <f>IFERROR(VLOOKUP($I44,'Institution Evaluation'!$A$55:$F$346,4,0),IFERROR(VLOOKUP($I44,'Privacy Analyst Evaluation'!$A$46:$F$120,4,0),""))&amp;""</f>
        <v/>
      </c>
      <c r="M44" s="210"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105" x14ac:dyDescent="0.2">
      <c r="A45" s="210">
        <f>IFERROR(IF($A44+1&gt;'(backend scoring)'!$T$335,"",$A44+1),"")</f>
        <v>21</v>
      </c>
      <c r="B45" s="210" t="str">
        <f>_xlfn.XLOOKUP($A45,'(backend scoring)'!$V$2:$V$333,'(backend scoring)'!$A$2:$A$333,"")</f>
        <v>APPL-06</v>
      </c>
      <c r="C45" s="210" t="str">
        <f>IFERROR(VLOOKUP($B45,'Institution Evaluation'!$A$55:$F$346,2,0),IFERROR(VLOOKUP($B45,'Privacy Analyst Evaluation'!$A$46:$F$120,2,0),""))&amp;""</f>
        <v>Do you subject your code to static code analysis and/or static application security testing prior to release?*</v>
      </c>
      <c r="D45" s="210" t="str">
        <f>IFERROR(VLOOKUP($B45,'Institution Evaluation'!$A$55:$F$346,3,0),IFERROR(VLOOKUP($B45,'Privacy Analyst Evaluation'!$A$46:$F$120,3,0),""))&amp;""</f>
        <v>No</v>
      </c>
      <c r="E45" s="210" t="str">
        <f>IFERROR(VLOOKUP($B45,'Institution Evaluation'!$A$55:$F$346,4,0),IFERROR(VLOOKUP($B45,'Privacy Analyst Evaluation'!$A$46:$F$120,4,0),""))&amp;""</f>
        <v>NSSE Shorts as a project does not. See Qualtrics HECVAT 2025 for more details: https://bcsse.iu.edu/doc/bcsse/Qualtrics%20HECVAT%202025.xlsx</v>
      </c>
      <c r="F45" s="210" t="str">
        <f>IFERROR(VLOOKUP($B45,'Institution Evaluation'!$A$55:$F$346,6,0),IFERROR(VLOOKUP($B45,'Privacy Analyst Evaluation'!$A$46:$F$120,6,0),""))&amp;""</f>
        <v/>
      </c>
      <c r="G45" s="211"/>
      <c r="H45" s="210" t="str">
        <f>IFERROR(IF($H44+1&gt;'(backend scoring)'!$Q$335,"",$H44+1),"")</f>
        <v/>
      </c>
      <c r="I45" s="210" t="str">
        <f>_xlfn.XLOOKUP($H45,'(backend scoring)'!$S$2:$S$333,'(backend scoring)'!$A$2:$A$333,"")</f>
        <v/>
      </c>
      <c r="J45" s="210" t="str">
        <f>IFERROR(VLOOKUP($I45,'Institution Evaluation'!$A$55:$F$346,2,0),IFERROR(VLOOKUP($I45,'Privacy Analyst Evaluation'!$A$46:$F$120,2,0),""))</f>
        <v/>
      </c>
      <c r="K45" s="210" t="str">
        <f>IFERROR(VLOOKUP($I45,'Institution Evaluation'!$A$55:$F$346,3,0),IFERROR(VLOOKUP($I45,'Privacy Analyst Evaluation'!$A$46:$F$120,3,0),""))&amp;""</f>
        <v/>
      </c>
      <c r="L45" s="210" t="str">
        <f>IFERROR(VLOOKUP($I45,'Institution Evaluation'!$A$55:$F$346,4,0),IFERROR(VLOOKUP($I45,'Privacy Analyst Evaluation'!$A$46:$F$120,4,0),""))&amp;""</f>
        <v/>
      </c>
      <c r="M45" s="210"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105" x14ac:dyDescent="0.2">
      <c r="A46" s="210">
        <f>IFERROR(IF($A45+1&gt;'(backend scoring)'!$T$335,"",$A45+1),"")</f>
        <v>22</v>
      </c>
      <c r="B46" s="210" t="str">
        <f>_xlfn.XLOOKUP($A46,'(backend scoring)'!$V$2:$V$333,'(backend scoring)'!$A$2:$A$333,"")</f>
        <v>APPL-07</v>
      </c>
      <c r="C46" s="210" t="str">
        <f>IFERROR(VLOOKUP($B46,'Institution Evaluation'!$A$55:$F$346,2,0),IFERROR(VLOOKUP($B46,'Privacy Analyst Evaluation'!$A$46:$F$120,2,0),""))&amp;""</f>
        <v>Do you have software testing processes (dynamic or static) that are established and followed?*</v>
      </c>
      <c r="D46" s="210" t="str">
        <f>IFERROR(VLOOKUP($B46,'Institution Evaluation'!$A$55:$F$346,3,0),IFERROR(VLOOKUP($B46,'Privacy Analyst Evaluation'!$A$46:$F$120,3,0),""))&amp;""</f>
        <v>No</v>
      </c>
      <c r="E46" s="210" t="str">
        <f>IFERROR(VLOOKUP($B46,'Institution Evaluation'!$A$55:$F$346,4,0),IFERROR(VLOOKUP($B46,'Privacy Analyst Evaluation'!$A$46:$F$120,4,0),""))&amp;""</f>
        <v>NSSE Shorts as a project does not. See Qualtrics HECVAT 2025 for more details: https://bcsse.iu.edu/doc/bcsse/Qualtrics%20HECVAT%202025.xlsx</v>
      </c>
      <c r="F46" s="210" t="str">
        <f>IFERROR(VLOOKUP($B46,'Institution Evaluation'!$A$55:$F$346,6,0),IFERROR(VLOOKUP($B46,'Privacy Analyst Evaluation'!$A$46:$F$120,6,0),""))&amp;""</f>
        <v/>
      </c>
      <c r="G46" s="211"/>
      <c r="H46" s="210" t="str">
        <f>IFERROR(IF($H45+1&gt;'(backend scoring)'!$Q$335,"",$H45+1),"")</f>
        <v/>
      </c>
      <c r="I46" s="210" t="str">
        <f>_xlfn.XLOOKUP($H46,'(backend scoring)'!$S$2:$S$333,'(backend scoring)'!$A$2:$A$333,"")</f>
        <v/>
      </c>
      <c r="J46" s="210" t="str">
        <f>IFERROR(VLOOKUP($I46,'Institution Evaluation'!$A$55:$F$346,2,0),IFERROR(VLOOKUP($I46,'Privacy Analyst Evaluation'!$A$46:$F$120,2,0),""))</f>
        <v/>
      </c>
      <c r="K46" s="210" t="str">
        <f>IFERROR(VLOOKUP($I46,'Institution Evaluation'!$A$55:$F$346,3,0),IFERROR(VLOOKUP($I46,'Privacy Analyst Evaluation'!$A$46:$F$120,3,0),""))&amp;""</f>
        <v/>
      </c>
      <c r="L46" s="210" t="str">
        <f>IFERROR(VLOOKUP($I46,'Institution Evaluation'!$A$55:$F$346,4,0),IFERROR(VLOOKUP($I46,'Privacy Analyst Evaluation'!$A$46:$F$120,4,0),""))&amp;""</f>
        <v/>
      </c>
      <c r="M46" s="210"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60" x14ac:dyDescent="0.2">
      <c r="A47" s="210">
        <f>IFERROR(IF($A46+1&gt;'(backend scoring)'!$T$335,"",$A46+1),"")</f>
        <v>23</v>
      </c>
      <c r="B47" s="210" t="str">
        <f>_xlfn.XLOOKUP($A47,'(backend scoring)'!$V$2:$V$333,'(backend scoring)'!$A$2:$A$333,"")</f>
        <v>AAAI-01</v>
      </c>
      <c r="C47" s="210" t="str">
        <f>IFERROR(VLOOKUP($B47,'Institution Evaluation'!$A$55:$F$346,2,0),IFERROR(VLOOKUP($B47,'Privacy Analyst Evaluation'!$A$46:$F$120,2,0),""))&amp;""</f>
        <v>Does your solution support single sign-on (SSO) protocols for user and administrator authentication?*</v>
      </c>
      <c r="D47" s="210" t="str">
        <f>IFERROR(VLOOKUP($B47,'Institution Evaluation'!$A$55:$F$346,3,0),IFERROR(VLOOKUP($B47,'Privacy Analyst Evaluation'!$A$46:$F$120,3,0),""))&amp;""</f>
        <v>No</v>
      </c>
      <c r="E47" s="210" t="str">
        <f>IFERROR(VLOOKUP($B47,'Institution Evaluation'!$A$55:$F$346,4,0),IFERROR(VLOOKUP($B47,'Privacy Analyst Evaluation'!$A$46:$F$120,4,0),""))&amp;""</f>
        <v/>
      </c>
      <c r="F47" s="210" t="str">
        <f>IFERROR(VLOOKUP($B47,'Institution Evaluation'!$A$55:$F$346,6,0),IFERROR(VLOOKUP($B47,'Privacy Analyst Evaluation'!$A$46:$F$120,6,0),""))&amp;""</f>
        <v/>
      </c>
      <c r="G47" s="211"/>
      <c r="H47" s="210" t="str">
        <f>IFERROR(IF($H46+1&gt;'(backend scoring)'!$Q$335,"",$H46+1),"")</f>
        <v/>
      </c>
      <c r="I47" s="210" t="str">
        <f>_xlfn.XLOOKUP($H47,'(backend scoring)'!$S$2:$S$333,'(backend scoring)'!$A$2:$A$333,"")</f>
        <v/>
      </c>
      <c r="J47" s="210" t="str">
        <f>IFERROR(VLOOKUP($I47,'Institution Evaluation'!$A$55:$F$346,2,0),IFERROR(VLOOKUP($I47,'Privacy Analyst Evaluation'!$A$46:$F$120,2,0),""))</f>
        <v/>
      </c>
      <c r="K47" s="210" t="str">
        <f>IFERROR(VLOOKUP($I47,'Institution Evaluation'!$A$55:$F$346,3,0),IFERROR(VLOOKUP($I47,'Privacy Analyst Evaluation'!$A$46:$F$120,3,0),""))&amp;""</f>
        <v/>
      </c>
      <c r="L47" s="210" t="str">
        <f>IFERROR(VLOOKUP($I47,'Institution Evaluation'!$A$55:$F$346,4,0),IFERROR(VLOOKUP($I47,'Privacy Analyst Evaluation'!$A$46:$F$120,4,0),""))&amp;""</f>
        <v/>
      </c>
      <c r="M47" s="210"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150" x14ac:dyDescent="0.2">
      <c r="A48" s="210">
        <f>IFERROR(IF($A47+1&gt;'(backend scoring)'!$T$335,"",$A47+1),"")</f>
        <v>24</v>
      </c>
      <c r="B48" s="210" t="str">
        <f>_xlfn.XLOOKUP($A48,'(backend scoring)'!$V$2:$V$333,'(backend scoring)'!$A$2:$A$333,"")</f>
        <v>AAAI-02</v>
      </c>
      <c r="C48" s="210" t="str">
        <f>IFERROR(VLOOKUP($B48,'Institution Evaluation'!$A$55:$F$346,2,0),IFERROR(VLOOKUP($B48,'Privacy Analyst Evaluation'!$A$46:$F$120,2,0),""))&amp;""</f>
        <v>For customers not using SSO, does your solution support local authentication protocols for user and administrator authentication?*</v>
      </c>
      <c r="D48" s="210" t="str">
        <f>IFERROR(VLOOKUP($B48,'Institution Evaluation'!$A$55:$F$346,3,0),IFERROR(VLOOKUP($B48,'Privacy Analyst Evaluation'!$A$46:$F$120,3,0),""))&amp;""</f>
        <v>Yes</v>
      </c>
      <c r="E48" s="210" t="str">
        <f>IFERROR(VLOOKUP($B48,'Institution Evaluation'!$A$55:$F$346,4,0),IFERROR(VLOOKUP($B48,'Privacy Analyst Evaluation'!$A$46:$F$120,4,0),""))&amp;""</f>
        <v>Password settings are determined by the customer for their own instance. For more information see https://www.qualtrics.com/support/survey-platform/sp-administration/security-tab/</v>
      </c>
      <c r="F48" s="210" t="str">
        <f>IFERROR(VLOOKUP($B48,'Institution Evaluation'!$A$55:$F$346,6,0),IFERROR(VLOOKUP($B48,'Privacy Analyst Evaluation'!$A$46:$F$120,6,0),""))&amp;""</f>
        <v/>
      </c>
      <c r="G48" s="211"/>
      <c r="H48" s="210" t="str">
        <f>IFERROR(IF($H47+1&gt;'(backend scoring)'!$Q$335,"",$H47+1),"")</f>
        <v/>
      </c>
      <c r="I48" s="210" t="str">
        <f>_xlfn.XLOOKUP($H48,'(backend scoring)'!$S$2:$S$333,'(backend scoring)'!$A$2:$A$333,"")</f>
        <v/>
      </c>
      <c r="J48" s="210" t="str">
        <f>IFERROR(VLOOKUP($I48,'Institution Evaluation'!$A$55:$F$346,2,0),IFERROR(VLOOKUP($I48,'Privacy Analyst Evaluation'!$A$46:$F$120,2,0),""))</f>
        <v/>
      </c>
      <c r="K48" s="210" t="str">
        <f>IFERROR(VLOOKUP($I48,'Institution Evaluation'!$A$55:$F$346,3,0),IFERROR(VLOOKUP($I48,'Privacy Analyst Evaluation'!$A$46:$F$120,3,0),""))&amp;""</f>
        <v/>
      </c>
      <c r="L48" s="210" t="str">
        <f>IFERROR(VLOOKUP($I48,'Institution Evaluation'!$A$55:$F$346,4,0),IFERROR(VLOOKUP($I48,'Privacy Analyst Evaluation'!$A$46:$F$120,4,0),""))&amp;""</f>
        <v/>
      </c>
      <c r="M48" s="210"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150" x14ac:dyDescent="0.2">
      <c r="A49" s="210">
        <f>IFERROR(IF($A48+1&gt;'(backend scoring)'!$T$335,"",$A48+1),"")</f>
        <v>25</v>
      </c>
      <c r="B49" s="210" t="str">
        <f>_xlfn.XLOOKUP($A49,'(backend scoring)'!$V$2:$V$333,'(backend scoring)'!$A$2:$A$333,"")</f>
        <v>AAAI-03</v>
      </c>
      <c r="C49" s="210" t="str">
        <f>IFERROR(VLOOKUP($B49,'Institution Evaluation'!$A$55:$F$346,2,0),IFERROR(VLOOKUP($B49,'Privacy Analyst Evaluation'!$A$46:$F$120,2,0),""))&amp;""</f>
        <v>For customers not using SSO, can you enforce password/passphrase complexity requirements (provided by the institution)?*</v>
      </c>
      <c r="D49" s="210" t="str">
        <f>IFERROR(VLOOKUP($B49,'Institution Evaluation'!$A$55:$F$346,3,0),IFERROR(VLOOKUP($B49,'Privacy Analyst Evaluation'!$A$46:$F$120,3,0),""))&amp;""</f>
        <v>Yes</v>
      </c>
      <c r="E49" s="210" t="str">
        <f>IFERROR(VLOOKUP($B49,'Institution Evaluation'!$A$55:$F$346,4,0),IFERROR(VLOOKUP($B49,'Privacy Analyst Evaluation'!$A$46:$F$120,4,0),""))&amp;""</f>
        <v>Password settings are determined by the customer for their own instance. For more information see https://www.qualtrics.com/support/survey-platform/sp-administration/security-tab/</v>
      </c>
      <c r="F49" s="210" t="str">
        <f>IFERROR(VLOOKUP($B49,'Institution Evaluation'!$A$55:$F$346,6,0),IFERROR(VLOOKUP($B49,'Privacy Analyst Evaluation'!$A$46:$F$120,6,0),""))&amp;""</f>
        <v/>
      </c>
      <c r="G49" s="211"/>
      <c r="H49" s="210" t="str">
        <f>IFERROR(IF($H48+1&gt;'(backend scoring)'!$Q$335,"",$H48+1),"")</f>
        <v/>
      </c>
      <c r="I49" s="210" t="str">
        <f>_xlfn.XLOOKUP($H49,'(backend scoring)'!$S$2:$S$333,'(backend scoring)'!$A$2:$A$333,"")</f>
        <v/>
      </c>
      <c r="J49" s="210" t="str">
        <f>IFERROR(VLOOKUP($I49,'Institution Evaluation'!$A$55:$F$346,2,0),IFERROR(VLOOKUP($I49,'Privacy Analyst Evaluation'!$A$46:$F$120,2,0),""))</f>
        <v/>
      </c>
      <c r="K49" s="210" t="str">
        <f>IFERROR(VLOOKUP($I49,'Institution Evaluation'!$A$55:$F$346,3,0),IFERROR(VLOOKUP($I49,'Privacy Analyst Evaluation'!$A$46:$F$120,3,0),""))&amp;""</f>
        <v/>
      </c>
      <c r="L49" s="210" t="str">
        <f>IFERROR(VLOOKUP($I49,'Institution Evaluation'!$A$55:$F$346,4,0),IFERROR(VLOOKUP($I49,'Privacy Analyst Evaluation'!$A$46:$F$120,4,0),""))&amp;""</f>
        <v/>
      </c>
      <c r="M49" s="210"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150" x14ac:dyDescent="0.2">
      <c r="A50" s="210">
        <f>IFERROR(IF($A49+1&gt;'(backend scoring)'!$T$335,"",$A49+1),"")</f>
        <v>26</v>
      </c>
      <c r="B50" s="210" t="str">
        <f>_xlfn.XLOOKUP($A50,'(backend scoring)'!$V$2:$V$333,'(backend scoring)'!$A$2:$A$333,"")</f>
        <v>AAAI-04</v>
      </c>
      <c r="C50" s="210" t="str">
        <f>IFERROR(VLOOKUP($B50,'Institution Evaluation'!$A$55:$F$346,2,0),IFERROR(VLOOKUP($B50,'Privacy Analyst Evaluation'!$A$46:$F$120,2,0),""))&amp;""</f>
        <v>For customers not using SSO, does the system have password complexity or length limitations and/or restrictions?*</v>
      </c>
      <c r="D50" s="210" t="str">
        <f>IFERROR(VLOOKUP($B50,'Institution Evaluation'!$A$55:$F$346,3,0),IFERROR(VLOOKUP($B50,'Privacy Analyst Evaluation'!$A$46:$F$120,3,0),""))&amp;""</f>
        <v>Yes</v>
      </c>
      <c r="E50" s="210" t="str">
        <f>IFERROR(VLOOKUP($B50,'Institution Evaluation'!$A$55:$F$346,4,0),IFERROR(VLOOKUP($B50,'Privacy Analyst Evaluation'!$A$46:$F$120,4,0),""))&amp;""</f>
        <v>Password settings are determined by the customer for their own instance. For more information see https://www.qualtrics.com/support/survey-platform/sp-administration/security-tab/</v>
      </c>
      <c r="F50" s="210" t="str">
        <f>IFERROR(VLOOKUP($B50,'Institution Evaluation'!$A$55:$F$346,6,0),IFERROR(VLOOKUP($B50,'Privacy Analyst Evaluation'!$A$46:$F$120,6,0),""))&amp;""</f>
        <v/>
      </c>
      <c r="G50" s="211"/>
      <c r="H50" s="210" t="str">
        <f>IFERROR(IF($H49+1&gt;'(backend scoring)'!$Q$335,"",$H49+1),"")</f>
        <v/>
      </c>
      <c r="I50" s="210" t="str">
        <f>_xlfn.XLOOKUP($H50,'(backend scoring)'!$S$2:$S$333,'(backend scoring)'!$A$2:$A$333,"")</f>
        <v/>
      </c>
      <c r="J50" s="210" t="str">
        <f>IFERROR(VLOOKUP($I50,'Institution Evaluation'!$A$55:$F$346,2,0),IFERROR(VLOOKUP($I50,'Privacy Analyst Evaluation'!$A$46:$F$120,2,0),""))</f>
        <v/>
      </c>
      <c r="K50" s="210" t="str">
        <f>IFERROR(VLOOKUP($I50,'Institution Evaluation'!$A$55:$F$346,3,0),IFERROR(VLOOKUP($I50,'Privacy Analyst Evaluation'!$A$46:$F$120,3,0),""))&amp;""</f>
        <v/>
      </c>
      <c r="L50" s="210" t="str">
        <f>IFERROR(VLOOKUP($I50,'Institution Evaluation'!$A$55:$F$346,4,0),IFERROR(VLOOKUP($I50,'Privacy Analyst Evaluation'!$A$46:$F$120,4,0),""))&amp;""</f>
        <v/>
      </c>
      <c r="M50" s="210"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150" x14ac:dyDescent="0.2">
      <c r="A51" s="210">
        <f>IFERROR(IF($A50+1&gt;'(backend scoring)'!$T$335,"",$A50+1),"")</f>
        <v>27</v>
      </c>
      <c r="B51" s="210" t="str">
        <f>_xlfn.XLOOKUP($A51,'(backend scoring)'!$V$2:$V$333,'(backend scoring)'!$A$2:$A$333,"")</f>
        <v>AAAI-05</v>
      </c>
      <c r="C51" s="210"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0" t="str">
        <f>IFERROR(VLOOKUP($B51,'Institution Evaluation'!$A$55:$F$346,3,0),IFERROR(VLOOKUP($B51,'Privacy Analyst Evaluation'!$A$46:$F$120,3,0),""))&amp;""</f>
        <v>Yes</v>
      </c>
      <c r="E51" s="210" t="str">
        <f>IFERROR(VLOOKUP($B51,'Institution Evaluation'!$A$55:$F$346,4,0),IFERROR(VLOOKUP($B51,'Privacy Analyst Evaluation'!$A$46:$F$120,4,0),""))&amp;""</f>
        <v>Password settings are determined by the customer for their own instance. For more information see https://www.qualtrics.com/support/survey-platform/sp-administration/security-tab/</v>
      </c>
      <c r="F51" s="210" t="str">
        <f>IFERROR(VLOOKUP($B51,'Institution Evaluation'!$A$55:$F$346,6,0),IFERROR(VLOOKUP($B51,'Privacy Analyst Evaluation'!$A$46:$F$120,6,0),""))&amp;""</f>
        <v/>
      </c>
      <c r="G51" s="211"/>
      <c r="H51" s="210" t="str">
        <f>IFERROR(IF($H50+1&gt;'(backend scoring)'!$Q$335,"",$H50+1),"")</f>
        <v/>
      </c>
      <c r="I51" s="210" t="str">
        <f>_xlfn.XLOOKUP($H51,'(backend scoring)'!$S$2:$S$333,'(backend scoring)'!$A$2:$A$333,"")</f>
        <v/>
      </c>
      <c r="J51" s="210" t="str">
        <f>IFERROR(VLOOKUP($I51,'Institution Evaluation'!$A$55:$F$346,2,0),IFERROR(VLOOKUP($I51,'Privacy Analyst Evaluation'!$A$46:$F$120,2,0),""))</f>
        <v/>
      </c>
      <c r="K51" s="210" t="str">
        <f>IFERROR(VLOOKUP($I51,'Institution Evaluation'!$A$55:$F$346,3,0),IFERROR(VLOOKUP($I51,'Privacy Analyst Evaluation'!$A$46:$F$120,3,0),""))&amp;""</f>
        <v/>
      </c>
      <c r="L51" s="210" t="str">
        <f>IFERROR(VLOOKUP($I51,'Institution Evaluation'!$A$55:$F$346,4,0),IFERROR(VLOOKUP($I51,'Privacy Analyst Evaluation'!$A$46:$F$120,4,0),""))&amp;""</f>
        <v/>
      </c>
      <c r="M51" s="210"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2">
      <c r="A52" s="210">
        <f>IFERROR(IF($A51+1&gt;'(backend scoring)'!$T$335,"",$A51+1),"")</f>
        <v>28</v>
      </c>
      <c r="B52" s="210" t="str">
        <f>_xlfn.XLOOKUP($A52,'(backend scoring)'!$V$2:$V$333,'(backend scoring)'!$A$2:$A$333,"")</f>
        <v>AAAI-06</v>
      </c>
      <c r="C52" s="210" t="str">
        <f>IFERROR(VLOOKUP($B52,'Institution Evaluation'!$A$55:$F$346,2,0),IFERROR(VLOOKUP($B52,'Privacy Analyst Evaluation'!$A$46:$F$120,2,0),""))&amp;""</f>
        <v>Does your organization participate in InCommon or another eduGAIN-affiliated trust federation?*</v>
      </c>
      <c r="D52" s="210" t="str">
        <f>IFERROR(VLOOKUP($B52,'Institution Evaluation'!$A$55:$F$346,3,0),IFERROR(VLOOKUP($B52,'Privacy Analyst Evaluation'!$A$46:$F$120,3,0),""))&amp;""</f>
        <v>No</v>
      </c>
      <c r="E52" s="210" t="str">
        <f>IFERROR(VLOOKUP($B52,'Institution Evaluation'!$A$55:$F$346,4,0),IFERROR(VLOOKUP($B52,'Privacy Analyst Evaluation'!$A$46:$F$120,4,0),""))&amp;""</f>
        <v/>
      </c>
      <c r="F52" s="210" t="str">
        <f>IFERROR(VLOOKUP($B52,'Institution Evaluation'!$A$55:$F$346,6,0),IFERROR(VLOOKUP($B52,'Privacy Analyst Evaluation'!$A$46:$F$120,6,0),""))&amp;""</f>
        <v/>
      </c>
      <c r="G52" s="211"/>
      <c r="H52" s="210" t="str">
        <f>IFERROR(IF($H51+1&gt;'(backend scoring)'!$Q$335,"",$H51+1),"")</f>
        <v/>
      </c>
      <c r="I52" s="210" t="str">
        <f>_xlfn.XLOOKUP($H52,'(backend scoring)'!$S$2:$S$333,'(backend scoring)'!$A$2:$A$333,"")</f>
        <v/>
      </c>
      <c r="J52" s="210" t="str">
        <f>IFERROR(VLOOKUP($I52,'Institution Evaluation'!$A$55:$F$346,2,0),IFERROR(VLOOKUP($I52,'Privacy Analyst Evaluation'!$A$46:$F$120,2,0),""))</f>
        <v/>
      </c>
      <c r="K52" s="210" t="str">
        <f>IFERROR(VLOOKUP($I52,'Institution Evaluation'!$A$55:$F$346,3,0),IFERROR(VLOOKUP($I52,'Privacy Analyst Evaluation'!$A$46:$F$120,3,0),""))&amp;""</f>
        <v/>
      </c>
      <c r="L52" s="210" t="str">
        <f>IFERROR(VLOOKUP($I52,'Institution Evaluation'!$A$55:$F$346,4,0),IFERROR(VLOOKUP($I52,'Privacy Analyst Evaluation'!$A$46:$F$120,4,0),""))&amp;""</f>
        <v/>
      </c>
      <c r="M52" s="210"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x14ac:dyDescent="0.2">
      <c r="A53" s="210">
        <f>IFERROR(IF($A52+1&gt;'(backend scoring)'!$T$335,"",$A52+1),"")</f>
        <v>29</v>
      </c>
      <c r="B53" s="210" t="str">
        <f>_xlfn.XLOOKUP($A53,'(backend scoring)'!$V$2:$V$333,'(backend scoring)'!$A$2:$A$333,"")</f>
        <v>AAAI-07</v>
      </c>
      <c r="C53" s="210" t="str">
        <f>IFERROR(VLOOKUP($B53,'Institution Evaluation'!$A$55:$F$346,2,0),IFERROR(VLOOKUP($B53,'Privacy Analyst Evaluation'!$A$46:$F$120,2,0),""))&amp;""</f>
        <v>Are there any passwords/passphrases hard-coded into your systems or solutions?*</v>
      </c>
      <c r="D53" s="210" t="str">
        <f>IFERROR(VLOOKUP($B53,'Institution Evaluation'!$A$55:$F$346,3,0),IFERROR(VLOOKUP($B53,'Privacy Analyst Evaluation'!$A$46:$F$120,3,0),""))&amp;""</f>
        <v>No</v>
      </c>
      <c r="E53" s="210" t="str">
        <f>IFERROR(VLOOKUP($B53,'Institution Evaluation'!$A$55:$F$346,4,0),IFERROR(VLOOKUP($B53,'Privacy Analyst Evaluation'!$A$46:$F$120,4,0),""))&amp;""</f>
        <v/>
      </c>
      <c r="F53" s="210" t="str">
        <f>IFERROR(VLOOKUP($B53,'Institution Evaluation'!$A$55:$F$346,6,0),IFERROR(VLOOKUP($B53,'Privacy Analyst Evaluation'!$A$46:$F$120,6,0),""))&amp;""</f>
        <v/>
      </c>
      <c r="G53" s="211"/>
      <c r="H53" s="210" t="str">
        <f>IFERROR(IF($H52+1&gt;'(backend scoring)'!$Q$335,"",$H52+1),"")</f>
        <v/>
      </c>
      <c r="I53" s="210" t="str">
        <f>_xlfn.XLOOKUP($H53,'(backend scoring)'!$S$2:$S$333,'(backend scoring)'!$A$2:$A$333,"")</f>
        <v/>
      </c>
      <c r="J53" s="210" t="str">
        <f>IFERROR(VLOOKUP($I53,'Institution Evaluation'!$A$55:$F$346,2,0),IFERROR(VLOOKUP($I53,'Privacy Analyst Evaluation'!$A$46:$F$120,2,0),""))</f>
        <v/>
      </c>
      <c r="K53" s="210" t="str">
        <f>IFERROR(VLOOKUP($I53,'Institution Evaluation'!$A$55:$F$346,3,0),IFERROR(VLOOKUP($I53,'Privacy Analyst Evaluation'!$A$46:$F$120,3,0),""))&amp;""</f>
        <v/>
      </c>
      <c r="L53" s="210" t="str">
        <f>IFERROR(VLOOKUP($I53,'Institution Evaluation'!$A$55:$F$346,4,0),IFERROR(VLOOKUP($I53,'Privacy Analyst Evaluation'!$A$46:$F$120,4,0),""))&amp;""</f>
        <v/>
      </c>
      <c r="M53" s="210"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x14ac:dyDescent="0.2">
      <c r="A54" s="210">
        <f>IFERROR(IF($A53+1&gt;'(backend scoring)'!$T$335,"",$A53+1),"")</f>
        <v>30</v>
      </c>
      <c r="B54" s="210" t="str">
        <f>_xlfn.XLOOKUP($A54,'(backend scoring)'!$V$2:$V$333,'(backend scoring)'!$A$2:$A$333,"")</f>
        <v>AAAI-08</v>
      </c>
      <c r="C54" s="210" t="str">
        <f>IFERROR(VLOOKUP($B54,'Institution Evaluation'!$A$55:$F$346,2,0),IFERROR(VLOOKUP($B54,'Privacy Analyst Evaluation'!$A$46:$F$120,2,0),""))&amp;""</f>
        <v>Are you storing any passwords in plaintext?*</v>
      </c>
      <c r="D54" s="210" t="str">
        <f>IFERROR(VLOOKUP($B54,'Institution Evaluation'!$A$55:$F$346,3,0),IFERROR(VLOOKUP($B54,'Privacy Analyst Evaluation'!$A$46:$F$120,3,0),""))&amp;""</f>
        <v>No</v>
      </c>
      <c r="E54" s="210" t="str">
        <f>IFERROR(VLOOKUP($B54,'Institution Evaluation'!$A$55:$F$346,4,0),IFERROR(VLOOKUP($B54,'Privacy Analyst Evaluation'!$A$46:$F$120,4,0),""))&amp;""</f>
        <v/>
      </c>
      <c r="F54" s="210" t="str">
        <f>IFERROR(VLOOKUP($B54,'Institution Evaluation'!$A$55:$F$346,6,0),IFERROR(VLOOKUP($B54,'Privacy Analyst Evaluation'!$A$46:$F$120,6,0),""))&amp;""</f>
        <v/>
      </c>
      <c r="G54" s="211"/>
      <c r="H54" s="210" t="str">
        <f>IFERROR(IF($H53+1&gt;'(backend scoring)'!$Q$335,"",$H53+1),"")</f>
        <v/>
      </c>
      <c r="I54" s="210" t="str">
        <f>_xlfn.XLOOKUP($H54,'(backend scoring)'!$S$2:$S$333,'(backend scoring)'!$A$2:$A$333,"")</f>
        <v/>
      </c>
      <c r="J54" s="210" t="str">
        <f>IFERROR(VLOOKUP($I54,'Institution Evaluation'!$A$55:$F$346,2,0),IFERROR(VLOOKUP($I54,'Privacy Analyst Evaluation'!$A$46:$F$120,2,0),""))</f>
        <v/>
      </c>
      <c r="K54" s="210" t="str">
        <f>IFERROR(VLOOKUP($I54,'Institution Evaluation'!$A$55:$F$346,3,0),IFERROR(VLOOKUP($I54,'Privacy Analyst Evaluation'!$A$46:$F$120,3,0),""))&amp;""</f>
        <v/>
      </c>
      <c r="L54" s="210" t="str">
        <f>IFERROR(VLOOKUP($I54,'Institution Evaluation'!$A$55:$F$346,4,0),IFERROR(VLOOKUP($I54,'Privacy Analyst Evaluation'!$A$46:$F$120,4,0),""))&amp;""</f>
        <v/>
      </c>
      <c r="M54" s="210"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105" x14ac:dyDescent="0.2">
      <c r="A55" s="210">
        <f>IFERROR(IF($A54+1&gt;'(backend scoring)'!$T$335,"",$A54+1),"")</f>
        <v>31</v>
      </c>
      <c r="B55" s="210" t="str">
        <f>_xlfn.XLOOKUP($A55,'(backend scoring)'!$V$2:$V$333,'(backend scoring)'!$A$2:$A$333,"")</f>
        <v>AAAI-09</v>
      </c>
      <c r="C55" s="210" t="str">
        <f>IFERROR(VLOOKUP($B55,'Institution Evaluation'!$A$55:$F$346,2,0),IFERROR(VLOOKUP($B55,'Privacy Analyst Evaluation'!$A$46:$F$120,2,0),""))&amp;""</f>
        <v>Are audit logs available that include AT LEAST all of the following: login, logout, actions performed, and source IP address?*</v>
      </c>
      <c r="D55" s="210" t="str">
        <f>IFERROR(VLOOKUP($B55,'Institution Evaluation'!$A$55:$F$346,3,0),IFERROR(VLOOKUP($B55,'Privacy Analyst Evaluation'!$A$46:$F$120,3,0),""))&amp;""</f>
        <v>No</v>
      </c>
      <c r="E55" s="210" t="str">
        <f>IFERROR(VLOOKUP($B55,'Institution Evaluation'!$A$55:$F$346,4,0),IFERROR(VLOOKUP($B55,'Privacy Analyst Evaluation'!$A$46:$F$120,4,0),""))&amp;""</f>
        <v>NSSE Shorts as a project does not. See Qualtrics HECVAT 2025 for more details: https://bcsse.iu.edu/doc/bcsse/Qualtrics%20HECVAT%202025.xlsx</v>
      </c>
      <c r="F55" s="210" t="str">
        <f>IFERROR(VLOOKUP($B55,'Institution Evaluation'!$A$55:$F$346,6,0),IFERROR(VLOOKUP($B55,'Privacy Analyst Evaluation'!$A$46:$F$120,6,0),""))&amp;""</f>
        <v/>
      </c>
      <c r="G55" s="211"/>
      <c r="H55" s="210" t="str">
        <f>IFERROR(IF($H54+1&gt;'(backend scoring)'!$Q$335,"",$H54+1),"")</f>
        <v/>
      </c>
      <c r="I55" s="210" t="str">
        <f>_xlfn.XLOOKUP($H55,'(backend scoring)'!$S$2:$S$333,'(backend scoring)'!$A$2:$A$333,"")</f>
        <v/>
      </c>
      <c r="J55" s="210" t="str">
        <f>IFERROR(VLOOKUP($I55,'Institution Evaluation'!$A$55:$F$346,2,0),IFERROR(VLOOKUP($I55,'Privacy Analyst Evaluation'!$A$46:$F$120,2,0),""))</f>
        <v/>
      </c>
      <c r="K55" s="210" t="str">
        <f>IFERROR(VLOOKUP($I55,'Institution Evaluation'!$A$55:$F$346,3,0),IFERROR(VLOOKUP($I55,'Privacy Analyst Evaluation'!$A$46:$F$120,3,0),""))&amp;""</f>
        <v/>
      </c>
      <c r="L55" s="210" t="str">
        <f>IFERROR(VLOOKUP($I55,'Institution Evaluation'!$A$55:$F$346,4,0),IFERROR(VLOOKUP($I55,'Privacy Analyst Evaluation'!$A$46:$F$120,4,0),""))&amp;""</f>
        <v/>
      </c>
      <c r="M55" s="210"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105" x14ac:dyDescent="0.2">
      <c r="A56" s="210">
        <f>IFERROR(IF($A55+1&gt;'(backend scoring)'!$T$335,"",$A55+1),"")</f>
        <v>32</v>
      </c>
      <c r="B56" s="210" t="str">
        <f>_xlfn.XLOOKUP($A56,'(backend scoring)'!$V$2:$V$333,'(backend scoring)'!$A$2:$A$333,"")</f>
        <v>AAAI-11</v>
      </c>
      <c r="C56" s="210" t="str">
        <f>IFERROR(VLOOKUP($B56,'Institution Evaluation'!$A$55:$F$346,2,0),IFERROR(VLOOKUP($B56,'Privacy Analyst Evaluation'!$A$46:$F$120,2,0),""))&amp;""</f>
        <v>Can you provide the institution documentation regarding the retention period for those logs, how logs are protected, and whether they are accessible to the customer (and if so, how)?*</v>
      </c>
      <c r="D56" s="210" t="str">
        <f>IFERROR(VLOOKUP($B56,'Institution Evaluation'!$A$55:$F$346,3,0),IFERROR(VLOOKUP($B56,'Privacy Analyst Evaluation'!$A$46:$F$120,3,0),""))&amp;""</f>
        <v>No</v>
      </c>
      <c r="E56" s="210" t="str">
        <f>IFERROR(VLOOKUP($B56,'Institution Evaluation'!$A$55:$F$346,4,0),IFERROR(VLOOKUP($B56,'Privacy Analyst Evaluation'!$A$46:$F$120,4,0),""))&amp;""</f>
        <v>NSSE Shorts as a project does not. See Qualtrics HECVAT 2025 for more details: https://bcsse.iu.edu/doc/bcsse/Qualtrics%20HECVAT%202025.xlsx</v>
      </c>
      <c r="F56" s="210" t="str">
        <f>IFERROR(VLOOKUP($B56,'Institution Evaluation'!$A$55:$F$346,6,0),IFERROR(VLOOKUP($B56,'Privacy Analyst Evaluation'!$A$46:$F$120,6,0),""))&amp;""</f>
        <v/>
      </c>
      <c r="G56" s="211"/>
      <c r="H56" s="210" t="str">
        <f>IFERROR(IF($H55+1&gt;'(backend scoring)'!$Q$335,"",$H55+1),"")</f>
        <v/>
      </c>
      <c r="I56" s="210" t="str">
        <f>_xlfn.XLOOKUP($H56,'(backend scoring)'!$S$2:$S$333,'(backend scoring)'!$A$2:$A$333,"")</f>
        <v/>
      </c>
      <c r="J56" s="210" t="str">
        <f>IFERROR(VLOOKUP($I56,'Institution Evaluation'!$A$55:$F$346,2,0),IFERROR(VLOOKUP($I56,'Privacy Analyst Evaluation'!$A$46:$F$120,2,0),""))</f>
        <v/>
      </c>
      <c r="K56" s="210" t="str">
        <f>IFERROR(VLOOKUP($I56,'Institution Evaluation'!$A$55:$F$346,3,0),IFERROR(VLOOKUP($I56,'Privacy Analyst Evaluation'!$A$46:$F$120,3,0),""))&amp;""</f>
        <v/>
      </c>
      <c r="L56" s="210" t="str">
        <f>IFERROR(VLOOKUP($I56,'Institution Evaluation'!$A$55:$F$346,4,0),IFERROR(VLOOKUP($I56,'Privacy Analyst Evaluation'!$A$46:$F$120,4,0),""))&amp;""</f>
        <v/>
      </c>
      <c r="M56" s="210"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75" x14ac:dyDescent="0.2">
      <c r="A57" s="210">
        <f>IFERROR(IF($A56+1&gt;'(backend scoring)'!$T$335,"",$A56+1),"")</f>
        <v>33</v>
      </c>
      <c r="B57" s="210" t="str">
        <f>_xlfn.XLOOKUP($A57,'(backend scoring)'!$V$2:$V$333,'(backend scoring)'!$A$2:$A$333,"")</f>
        <v>CHNG-01</v>
      </c>
      <c r="C57" s="210" t="str">
        <f>IFERROR(VLOOKUP($B57,'Institution Evaluation'!$A$55:$F$346,2,0),IFERROR(VLOOKUP($B57,'Privacy Analyst Evaluation'!$A$46:$F$120,2,0),""))&amp;""</f>
        <v>Will the institution be notified of major changes to your environment that could impact the institution's security posture?*</v>
      </c>
      <c r="D57" s="210" t="str">
        <f>IFERROR(VLOOKUP($B57,'Institution Evaluation'!$A$55:$F$346,3,0),IFERROR(VLOOKUP($B57,'Privacy Analyst Evaluation'!$A$46:$F$120,3,0),""))&amp;""</f>
        <v>Yes</v>
      </c>
      <c r="E57" s="210" t="str">
        <f>IFERROR(VLOOKUP($B57,'Institution Evaluation'!$A$55:$F$346,4,0),IFERROR(VLOOKUP($B57,'Privacy Analyst Evaluation'!$A$46:$F$120,4,0),""))&amp;""</f>
        <v/>
      </c>
      <c r="F57" s="210" t="str">
        <f>IFERROR(VLOOKUP($B57,'Institution Evaluation'!$A$55:$F$346,6,0),IFERROR(VLOOKUP($B57,'Privacy Analyst Evaluation'!$A$46:$F$120,6,0),""))&amp;""</f>
        <v/>
      </c>
      <c r="G57" s="211"/>
      <c r="H57" s="210" t="str">
        <f>IFERROR(IF($H56+1&gt;'(backend scoring)'!$Q$335,"",$H56+1),"")</f>
        <v/>
      </c>
      <c r="I57" s="210" t="str">
        <f>_xlfn.XLOOKUP($H57,'(backend scoring)'!$S$2:$S$333,'(backend scoring)'!$A$2:$A$333,"")</f>
        <v/>
      </c>
      <c r="J57" s="210" t="str">
        <f>IFERROR(VLOOKUP($I57,'Institution Evaluation'!$A$55:$F$346,2,0),IFERROR(VLOOKUP($I57,'Privacy Analyst Evaluation'!$A$46:$F$120,2,0),""))</f>
        <v/>
      </c>
      <c r="K57" s="210" t="str">
        <f>IFERROR(VLOOKUP($I57,'Institution Evaluation'!$A$55:$F$346,3,0),IFERROR(VLOOKUP($I57,'Privacy Analyst Evaluation'!$A$46:$F$120,3,0),""))&amp;""</f>
        <v/>
      </c>
      <c r="L57" s="210" t="str">
        <f>IFERROR(VLOOKUP($I57,'Institution Evaluation'!$A$55:$F$346,4,0),IFERROR(VLOOKUP($I57,'Privacy Analyst Evaluation'!$A$46:$F$120,4,0),""))&amp;""</f>
        <v/>
      </c>
      <c r="M57" s="210"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90" x14ac:dyDescent="0.2">
      <c r="A58" s="210">
        <f>IFERROR(IF($A57+1&gt;'(backend scoring)'!$T$335,"",$A57+1),"")</f>
        <v>34</v>
      </c>
      <c r="B58" s="210" t="str">
        <f>_xlfn.XLOOKUP($A58,'(backend scoring)'!$V$2:$V$333,'(backend scoring)'!$A$2:$A$333,"")</f>
        <v>CHNG-02</v>
      </c>
      <c r="C58" s="210" t="str">
        <f>IFERROR(VLOOKUP($B58,'Institution Evaluation'!$A$55:$F$346,2,0),IFERROR(VLOOKUP($B58,'Privacy Analyst Evaluation'!$A$46:$F$120,2,0),""))&amp;""</f>
        <v>Does the system support client customizations from one release to another?*</v>
      </c>
      <c r="D58" s="210" t="str">
        <f>IFERROR(VLOOKUP($B58,'Institution Evaluation'!$A$55:$F$346,3,0),IFERROR(VLOOKUP($B58,'Privacy Analyst Evaluation'!$A$46:$F$120,3,0),""))&amp;""</f>
        <v>No</v>
      </c>
      <c r="E58" s="210" t="str">
        <f>IFERROR(VLOOKUP($B58,'Institution Evaluation'!$A$55:$F$346,4,0),IFERROR(VLOOKUP($B58,'Privacy Analyst Evaluation'!$A$46:$F$120,4,0),""))&amp;""</f>
        <v>Only one version of the Qualtrics platform is available. Upgrades and fixes to the platform are implemented across all customers.</v>
      </c>
      <c r="F58" s="210" t="str">
        <f>IFERROR(VLOOKUP($B58,'Institution Evaluation'!$A$55:$F$346,6,0),IFERROR(VLOOKUP($B58,'Privacy Analyst Evaluation'!$A$46:$F$120,6,0),""))&amp;""</f>
        <v/>
      </c>
      <c r="G58" s="211"/>
      <c r="H58" s="210" t="str">
        <f>IFERROR(IF($H57+1&gt;'(backend scoring)'!$Q$335,"",$H57+1),"")</f>
        <v/>
      </c>
      <c r="I58" s="210" t="str">
        <f>_xlfn.XLOOKUP($H58,'(backend scoring)'!$S$2:$S$333,'(backend scoring)'!$A$2:$A$333,"")</f>
        <v/>
      </c>
      <c r="J58" s="210" t="str">
        <f>IFERROR(VLOOKUP($I58,'Institution Evaluation'!$A$55:$F$346,2,0),IFERROR(VLOOKUP($I58,'Privacy Analyst Evaluation'!$A$46:$F$120,2,0),""))</f>
        <v/>
      </c>
      <c r="K58" s="210" t="str">
        <f>IFERROR(VLOOKUP($I58,'Institution Evaluation'!$A$55:$F$346,3,0),IFERROR(VLOOKUP($I58,'Privacy Analyst Evaluation'!$A$46:$F$120,3,0),""))&amp;""</f>
        <v/>
      </c>
      <c r="L58" s="210" t="str">
        <f>IFERROR(VLOOKUP($I58,'Institution Evaluation'!$A$55:$F$346,4,0),IFERROR(VLOOKUP($I58,'Privacy Analyst Evaluation'!$A$46:$F$120,4,0),""))&amp;""</f>
        <v/>
      </c>
      <c r="M58" s="210"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105" x14ac:dyDescent="0.2">
      <c r="A59" s="210">
        <f>IFERROR(IF($A58+1&gt;'(backend scoring)'!$T$335,"",$A58+1),"")</f>
        <v>35</v>
      </c>
      <c r="B59" s="210" t="str">
        <f>_xlfn.XLOOKUP($A59,'(backend scoring)'!$V$2:$V$333,'(backend scoring)'!$A$2:$A$333,"")</f>
        <v>CHNG-03</v>
      </c>
      <c r="C59" s="210" t="str">
        <f>IFERROR(VLOOKUP($B59,'Institution Evaluation'!$A$55:$F$346,2,0),IFERROR(VLOOKUP($B59,'Privacy Analyst Evaluation'!$A$46:$F$120,2,0),""))&amp;""</f>
        <v>Do you have an implemented system configuration management process (e.g.,secure "gold" images, etc.)?*</v>
      </c>
      <c r="D59" s="210" t="str">
        <f>IFERROR(VLOOKUP($B59,'Institution Evaluation'!$A$55:$F$346,3,0),IFERROR(VLOOKUP($B59,'Privacy Analyst Evaluation'!$A$46:$F$120,3,0),""))&amp;""</f>
        <v>No</v>
      </c>
      <c r="E59" s="210" t="str">
        <f>IFERROR(VLOOKUP($B59,'Institution Evaluation'!$A$55:$F$346,4,0),IFERROR(VLOOKUP($B59,'Privacy Analyst Evaluation'!$A$46:$F$120,4,0),""))&amp;""</f>
        <v>NSSE Shorts as a project does not. See Qualtrics HECVAT 2025 for more details: https://bcsse.iu.edu/doc/bcsse/Qualtrics%20HECVAT%202025.xlsx</v>
      </c>
      <c r="F59" s="210" t="str">
        <f>IFERROR(VLOOKUP($B59,'Institution Evaluation'!$A$55:$F$346,6,0),IFERROR(VLOOKUP($B59,'Privacy Analyst Evaluation'!$A$46:$F$120,6,0),""))&amp;""</f>
        <v/>
      </c>
      <c r="G59" s="211"/>
      <c r="H59" s="210" t="str">
        <f>IFERROR(IF($H58+1&gt;'(backend scoring)'!$Q$335,"",$H58+1),"")</f>
        <v/>
      </c>
      <c r="I59" s="210" t="str">
        <f>_xlfn.XLOOKUP($H59,'(backend scoring)'!$S$2:$S$333,'(backend scoring)'!$A$2:$A$333,"")</f>
        <v/>
      </c>
      <c r="J59" s="210" t="str">
        <f>IFERROR(VLOOKUP($I59,'Institution Evaluation'!$A$55:$F$346,2,0),IFERROR(VLOOKUP($I59,'Privacy Analyst Evaluation'!$A$46:$F$120,2,0),""))</f>
        <v/>
      </c>
      <c r="K59" s="210" t="str">
        <f>IFERROR(VLOOKUP($I59,'Institution Evaluation'!$A$55:$F$346,3,0),IFERROR(VLOOKUP($I59,'Privacy Analyst Evaluation'!$A$46:$F$120,3,0),""))&amp;""</f>
        <v/>
      </c>
      <c r="L59" s="210" t="str">
        <f>IFERROR(VLOOKUP($I59,'Institution Evaluation'!$A$55:$F$346,4,0),IFERROR(VLOOKUP($I59,'Privacy Analyst Evaluation'!$A$46:$F$120,4,0),""))&amp;""</f>
        <v/>
      </c>
      <c r="M59" s="210"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105" x14ac:dyDescent="0.2">
      <c r="A60" s="210">
        <f>IFERROR(IF($A59+1&gt;'(backend scoring)'!$T$335,"",$A59+1),"")</f>
        <v>36</v>
      </c>
      <c r="B60" s="210" t="str">
        <f>_xlfn.XLOOKUP($A60,'(backend scoring)'!$V$2:$V$333,'(backend scoring)'!$A$2:$A$333,"")</f>
        <v>DATA-01</v>
      </c>
      <c r="C60" s="210" t="str">
        <f>IFERROR(VLOOKUP($B60,'Institution Evaluation'!$A$55:$F$346,2,0),IFERROR(VLOOKUP($B60,'Privacy Analyst Evaluation'!$A$46:$F$120,2,0),""))&amp;""</f>
        <v>Will the institution's data be stored on any devices (database servers, file servers, SAN, NAS, etc.) configured with non-RFC 1918/4193 (i.e., publicly routable) IP addresses?*</v>
      </c>
      <c r="D60" s="210" t="str">
        <f>IFERROR(VLOOKUP($B60,'Institution Evaluation'!$A$55:$F$346,3,0),IFERROR(VLOOKUP($B60,'Privacy Analyst Evaluation'!$A$46:$F$120,3,0),""))&amp;""</f>
        <v>No</v>
      </c>
      <c r="E60" s="210" t="str">
        <f>IFERROR(VLOOKUP($B60,'Institution Evaluation'!$A$55:$F$346,4,0),IFERROR(VLOOKUP($B60,'Privacy Analyst Evaluation'!$A$46:$F$120,4,0),""))&amp;""</f>
        <v/>
      </c>
      <c r="F60" s="210" t="str">
        <f>IFERROR(VLOOKUP($B60,'Institution Evaluation'!$A$55:$F$346,6,0),IFERROR(VLOOKUP($B60,'Privacy Analyst Evaluation'!$A$46:$F$120,6,0),""))&amp;""</f>
        <v/>
      </c>
      <c r="G60" s="211"/>
      <c r="H60" s="210" t="str">
        <f>IFERROR(IF($H59+1&gt;'(backend scoring)'!$Q$335,"",$H59+1),"")</f>
        <v/>
      </c>
      <c r="I60" s="210" t="str">
        <f>_xlfn.XLOOKUP($H60,'(backend scoring)'!$S$2:$S$333,'(backend scoring)'!$A$2:$A$333,"")</f>
        <v/>
      </c>
      <c r="J60" s="210" t="str">
        <f>IFERROR(VLOOKUP($I60,'Institution Evaluation'!$A$55:$F$346,2,0),IFERROR(VLOOKUP($I60,'Privacy Analyst Evaluation'!$A$46:$F$120,2,0),""))</f>
        <v/>
      </c>
      <c r="K60" s="210" t="str">
        <f>IFERROR(VLOOKUP($I60,'Institution Evaluation'!$A$55:$F$346,3,0),IFERROR(VLOOKUP($I60,'Privacy Analyst Evaluation'!$A$46:$F$120,3,0),""))&amp;""</f>
        <v/>
      </c>
      <c r="L60" s="210" t="str">
        <f>IFERROR(VLOOKUP($I60,'Institution Evaluation'!$A$55:$F$346,4,0),IFERROR(VLOOKUP($I60,'Privacy Analyst Evaluation'!$A$46:$F$120,4,0),""))&amp;""</f>
        <v/>
      </c>
      <c r="M60" s="210"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345" x14ac:dyDescent="0.2">
      <c r="A61" s="210">
        <f>IFERROR(IF($A60+1&gt;'(backend scoring)'!$T$335,"",$A60+1),"")</f>
        <v>37</v>
      </c>
      <c r="B61" s="210" t="str">
        <f>_xlfn.XLOOKUP($A61,'(backend scoring)'!$V$2:$V$333,'(backend scoring)'!$A$2:$A$333,"")</f>
        <v>DATA-02</v>
      </c>
      <c r="C61" s="210" t="str">
        <f>IFERROR(VLOOKUP($B61,'Institution Evaluation'!$A$55:$F$346,2,0),IFERROR(VLOOKUP($B61,'Privacy Analyst Evaluation'!$A$46:$F$120,2,0),""))&amp;""</f>
        <v>Is the transport of sensitive data encrypted using security protocols/algorithms (e.g., system-to-client)?*</v>
      </c>
      <c r="D61" s="210" t="str">
        <f>IFERROR(VLOOKUP($B61,'Institution Evaluation'!$A$55:$F$346,3,0),IFERROR(VLOOKUP($B61,'Privacy Analyst Evaluation'!$A$46:$F$120,3,0),""))&amp;""</f>
        <v>Yes</v>
      </c>
      <c r="E61" s="210" t="str">
        <f>IFERROR(VLOOKUP($B61,'Institution Evaluation'!$A$55:$F$346,4,0),IFERROR(VLOOKUP($B61,'Privacy Analyst Evaluation'!$A$46:$F$120,4,0),""))&amp;""</f>
        <v>"All access to Qualtrics front-end Services is via Hypertext Transfer Protocol Secure (HTTPS) and enforces HTTP Strict Transport Security (HSTS). The platform supports Transport Layer Security (TLS) for all interaction with the platform. Access to the back-end services using the Qualtrics API supports TLS v1.2. Data is processed by
application servers and sent to database servers for storage. Respondent Data includes survey questions, graphics, and other content created in the survey design."</v>
      </c>
      <c r="F61" s="210" t="str">
        <f>IFERROR(VLOOKUP($B61,'Institution Evaluation'!$A$55:$F$346,6,0),IFERROR(VLOOKUP($B61,'Privacy Analyst Evaluation'!$A$46:$F$120,6,0),""))&amp;""</f>
        <v/>
      </c>
      <c r="G61" s="211"/>
      <c r="H61" s="210" t="str">
        <f>IFERROR(IF($H60+1&gt;'(backend scoring)'!$Q$335,"",$H60+1),"")</f>
        <v/>
      </c>
      <c r="I61" s="210" t="str">
        <f>_xlfn.XLOOKUP($H61,'(backend scoring)'!$S$2:$S$333,'(backend scoring)'!$A$2:$A$333,"")</f>
        <v/>
      </c>
      <c r="J61" s="210" t="str">
        <f>IFERROR(VLOOKUP($I61,'Institution Evaluation'!$A$55:$F$346,2,0),IFERROR(VLOOKUP($I61,'Privacy Analyst Evaluation'!$A$46:$F$120,2,0),""))</f>
        <v/>
      </c>
      <c r="K61" s="210" t="str">
        <f>IFERROR(VLOOKUP($I61,'Institution Evaluation'!$A$55:$F$346,3,0),IFERROR(VLOOKUP($I61,'Privacy Analyst Evaluation'!$A$46:$F$120,3,0),""))&amp;""</f>
        <v/>
      </c>
      <c r="L61" s="210" t="str">
        <f>IFERROR(VLOOKUP($I61,'Institution Evaluation'!$A$55:$F$346,4,0),IFERROR(VLOOKUP($I61,'Privacy Analyst Evaluation'!$A$46:$F$120,4,0),""))&amp;""</f>
        <v/>
      </c>
      <c r="M61" s="210"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330" x14ac:dyDescent="0.2">
      <c r="A62" s="210">
        <f>IFERROR(IF($A61+1&gt;'(backend scoring)'!$T$335,"",$A61+1),"")</f>
        <v>38</v>
      </c>
      <c r="B62" s="210" t="str">
        <f>_xlfn.XLOOKUP($A62,'(backend scoring)'!$V$2:$V$333,'(backend scoring)'!$A$2:$A$333,"")</f>
        <v>DATA-03</v>
      </c>
      <c r="C62" s="210" t="str">
        <f>IFERROR(VLOOKUP($B62,'Institution Evaluation'!$A$55:$F$346,2,0),IFERROR(VLOOKUP($B62,'Privacy Analyst Evaluation'!$A$46:$F$120,2,0),""))&amp;""</f>
        <v>Is the storage of sensitive data encrypted using security protocols/algorithms (e.g., disk encryption, at-rest, files, and within a running database)?*</v>
      </c>
      <c r="D62" s="210" t="str">
        <f>IFERROR(VLOOKUP($B62,'Institution Evaluation'!$A$55:$F$346,3,0),IFERROR(VLOOKUP($B62,'Privacy Analyst Evaluation'!$A$46:$F$120,3,0),""))&amp;""</f>
        <v>Yes</v>
      </c>
      <c r="E62" s="210" t="str">
        <f>IFERROR(VLOOKUP($B62,'Institution Evaluation'!$A$55:$F$346,4,0),IFERROR(VLOOKUP($B62,'Privacy Analyst Evaluation'!$A$46:$F$120,4,0),""))&amp;""</f>
        <v>IU: see IU Data Management https://datamanagement.iu.edu/index.html
Qualtrics: Disk level encryption is standard for Data stored on the platform. Data at rest uses AES 256-bit encryption. Unique keys are generated per server or data storage volume. Encryption keys are stored within a software vault where they are encrypted with key encrypting keys of equivalent strength. Keys are rotated whenever data storage volumes are rebuilt.</v>
      </c>
      <c r="F62" s="210" t="str">
        <f>IFERROR(VLOOKUP($B62,'Institution Evaluation'!$A$55:$F$346,6,0),IFERROR(VLOOKUP($B62,'Privacy Analyst Evaluation'!$A$46:$F$120,6,0),""))&amp;""</f>
        <v/>
      </c>
      <c r="G62" s="211"/>
      <c r="H62" s="210" t="str">
        <f>IFERROR(IF($H61+1&gt;'(backend scoring)'!$Q$335,"",$H61+1),"")</f>
        <v/>
      </c>
      <c r="I62" s="210" t="str">
        <f>_xlfn.XLOOKUP($H62,'(backend scoring)'!$S$2:$S$333,'(backend scoring)'!$A$2:$A$333,"")</f>
        <v/>
      </c>
      <c r="J62" s="210" t="str">
        <f>IFERROR(VLOOKUP($I62,'Institution Evaluation'!$A$55:$F$346,2,0),IFERROR(VLOOKUP($I62,'Privacy Analyst Evaluation'!$A$46:$F$120,2,0),""))</f>
        <v/>
      </c>
      <c r="K62" s="210" t="str">
        <f>IFERROR(VLOOKUP($I62,'Institution Evaluation'!$A$55:$F$346,3,0),IFERROR(VLOOKUP($I62,'Privacy Analyst Evaluation'!$A$46:$F$120,3,0),""))&amp;""</f>
        <v/>
      </c>
      <c r="L62" s="210" t="str">
        <f>IFERROR(VLOOKUP($I62,'Institution Evaluation'!$A$55:$F$346,4,0),IFERROR(VLOOKUP($I62,'Privacy Analyst Evaluation'!$A$46:$F$120,4,0),""))&amp;""</f>
        <v/>
      </c>
      <c r="M62" s="210"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409.5" x14ac:dyDescent="0.2">
      <c r="A63" s="210">
        <f>IFERROR(IF($A62+1&gt;'(backend scoring)'!$T$335,"",$A62+1),"")</f>
        <v>39</v>
      </c>
      <c r="B63" s="210" t="str">
        <f>_xlfn.XLOOKUP($A63,'(backend scoring)'!$V$2:$V$333,'(backend scoring)'!$A$2:$A$333,"")</f>
        <v>DATA-04</v>
      </c>
      <c r="C63" s="210" t="str">
        <f>IFERROR(VLOOKUP($B63,'Institution Evaluation'!$A$55:$F$346,2,0),IFERROR(VLOOKUP($B63,'Privacy Analyst Evaluation'!$A$46:$F$120,2,0),""))&amp;""</f>
        <v>Do all cryptographic modules in use in your solution conform to the Federal Information Processing Standards (FIPS PUB 140-2 or 140-3)?*</v>
      </c>
      <c r="D63" s="210" t="str">
        <f>IFERROR(VLOOKUP($B63,'Institution Evaluation'!$A$55:$F$346,3,0),IFERROR(VLOOKUP($B63,'Privacy Analyst Evaluation'!$A$46:$F$120,3,0),""))&amp;""</f>
        <v>No</v>
      </c>
      <c r="E63" s="210" t="str">
        <f>IFERROR(VLOOKUP($B63,'Institution Evaluation'!$A$55:$F$346,4,0),IFERROR(VLOOKUP($B63,'Privacy Analyst Evaluation'!$A$46:$F$120,4,0),""))&amp;""</f>
        <v>Qualtrics: The Federal Information Processing Standards (FIPS) Publication Series of the National Institute of Standards and Technology (NIST) is the official series of publications relating to standards and guidelines adopted and promulgated under the provisions of the Federal Information Security Management Act (FISMA) of 2002. Publication 200, “Minimum Security Requirements for Federal Information and Information Systems” proposes a basis for sound security practices in any organization. Qualtrics meets all requirements as listed in section 3, such as security training, incident response, media protection, and risk assessment. In-transit data (using TLS) are encrypted using FIPS-compliant modules</v>
      </c>
      <c r="F63" s="210" t="str">
        <f>IFERROR(VLOOKUP($B63,'Institution Evaluation'!$A$55:$F$346,6,0),IFERROR(VLOOKUP($B63,'Privacy Analyst Evaluation'!$A$46:$F$120,6,0),""))&amp;""</f>
        <v/>
      </c>
      <c r="G63" s="211"/>
      <c r="H63" s="210" t="str">
        <f>IFERROR(IF($H62+1&gt;'(backend scoring)'!$Q$335,"",$H62+1),"")</f>
        <v/>
      </c>
      <c r="I63" s="210" t="str">
        <f>_xlfn.XLOOKUP($H63,'(backend scoring)'!$S$2:$S$333,'(backend scoring)'!$A$2:$A$333,"")</f>
        <v/>
      </c>
      <c r="J63" s="210" t="str">
        <f>IFERROR(VLOOKUP($I63,'Institution Evaluation'!$A$55:$F$346,2,0),IFERROR(VLOOKUP($I63,'Privacy Analyst Evaluation'!$A$46:$F$120,2,0),""))</f>
        <v/>
      </c>
      <c r="K63" s="210" t="str">
        <f>IFERROR(VLOOKUP($I63,'Institution Evaluation'!$A$55:$F$346,3,0),IFERROR(VLOOKUP($I63,'Privacy Analyst Evaluation'!$A$46:$F$120,3,0),""))&amp;""</f>
        <v/>
      </c>
      <c r="L63" s="210" t="str">
        <f>IFERROR(VLOOKUP($I63,'Institution Evaluation'!$A$55:$F$346,4,0),IFERROR(VLOOKUP($I63,'Privacy Analyst Evaluation'!$A$46:$F$120,4,0),""))&amp;""</f>
        <v/>
      </c>
      <c r="M63" s="210"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60" x14ac:dyDescent="0.2">
      <c r="A64" s="210">
        <f>IFERROR(IF($A63+1&gt;'(backend scoring)'!$T$335,"",$A63+1),"")</f>
        <v>40</v>
      </c>
      <c r="B64" s="210" t="str">
        <f>_xlfn.XLOOKUP($A64,'(backend scoring)'!$V$2:$V$333,'(backend scoring)'!$A$2:$A$333,"")</f>
        <v>DATA-05</v>
      </c>
      <c r="C64" s="210" t="str">
        <f>IFERROR(VLOOKUP($B64,'Institution Evaluation'!$A$55:$F$346,2,0),IFERROR(VLOOKUP($B64,'Privacy Analyst Evaluation'!$A$46:$F$120,2,0),""))&amp;""</f>
        <v>Will the institution's data be available within the system for a period of time at the completion of this contract?*</v>
      </c>
      <c r="D64" s="210" t="str">
        <f>IFERROR(VLOOKUP($B64,'Institution Evaluation'!$A$55:$F$346,3,0),IFERROR(VLOOKUP($B64,'Privacy Analyst Evaluation'!$A$46:$F$120,3,0),""))&amp;""</f>
        <v>Yes</v>
      </c>
      <c r="E64" s="210" t="str">
        <f>IFERROR(VLOOKUP($B64,'Institution Evaluation'!$A$55:$F$346,4,0),IFERROR(VLOOKUP($B64,'Privacy Analyst Evaluation'!$A$46:$F$120,4,0),""))&amp;""</f>
        <v>NSSE Shorts stores all data in perpetuity as an archive for each institution.</v>
      </c>
      <c r="F64" s="210" t="str">
        <f>IFERROR(VLOOKUP($B64,'Institution Evaluation'!$A$55:$F$346,6,0),IFERROR(VLOOKUP($B64,'Privacy Analyst Evaluation'!$A$46:$F$120,6,0),""))&amp;""</f>
        <v/>
      </c>
      <c r="G64" s="211"/>
      <c r="H64" s="210" t="str">
        <f>IFERROR(IF($H63+1&gt;'(backend scoring)'!$Q$335,"",$H63+1),"")</f>
        <v/>
      </c>
      <c r="I64" s="210" t="str">
        <f>_xlfn.XLOOKUP($H64,'(backend scoring)'!$S$2:$S$333,'(backend scoring)'!$A$2:$A$333,"")</f>
        <v/>
      </c>
      <c r="J64" s="210" t="str">
        <f>IFERROR(VLOOKUP($I64,'Institution Evaluation'!$A$55:$F$346,2,0),IFERROR(VLOOKUP($I64,'Privacy Analyst Evaluation'!$A$46:$F$120,2,0),""))</f>
        <v/>
      </c>
      <c r="K64" s="210" t="str">
        <f>IFERROR(VLOOKUP($I64,'Institution Evaluation'!$A$55:$F$346,3,0),IFERROR(VLOOKUP($I64,'Privacy Analyst Evaluation'!$A$46:$F$120,3,0),""))&amp;""</f>
        <v/>
      </c>
      <c r="L64" s="210" t="str">
        <f>IFERROR(VLOOKUP($I64,'Institution Evaluation'!$A$55:$F$346,4,0),IFERROR(VLOOKUP($I64,'Privacy Analyst Evaluation'!$A$46:$F$120,4,0),""))&amp;""</f>
        <v/>
      </c>
      <c r="M64" s="210"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x14ac:dyDescent="0.2">
      <c r="A65" s="210">
        <f>IFERROR(IF($A64+1&gt;'(backend scoring)'!$T$335,"",$A64+1),"")</f>
        <v>41</v>
      </c>
      <c r="B65" s="210" t="str">
        <f>_xlfn.XLOOKUP($A65,'(backend scoring)'!$V$2:$V$333,'(backend scoring)'!$A$2:$A$333,"")</f>
        <v>DATA-06</v>
      </c>
      <c r="C65" s="210" t="str">
        <f>IFERROR(VLOOKUP($B65,'Institution Evaluation'!$A$55:$F$346,2,0),IFERROR(VLOOKUP($B65,'Privacy Analyst Evaluation'!$A$46:$F$120,2,0),""))&amp;""</f>
        <v>Are ownership rights to all data, inputs, outputs, and metadata retained even through a provider acquisition or bankruptcy event?*</v>
      </c>
      <c r="D65" s="210" t="str">
        <f>IFERROR(VLOOKUP($B65,'Institution Evaluation'!$A$55:$F$346,3,0),IFERROR(VLOOKUP($B65,'Privacy Analyst Evaluation'!$A$46:$F$120,3,0),""))&amp;""</f>
        <v>Yes</v>
      </c>
      <c r="E65" s="210" t="str">
        <f>IFERROR(VLOOKUP($B65,'Institution Evaluation'!$A$55:$F$346,4,0),IFERROR(VLOOKUP($B65,'Privacy Analyst Evaluation'!$A$46:$F$120,4,0),""))&amp;""</f>
        <v>Customers own their data at all times.</v>
      </c>
      <c r="F65" s="210" t="str">
        <f>IFERROR(VLOOKUP($B65,'Institution Evaluation'!$A$55:$F$346,6,0),IFERROR(VLOOKUP($B65,'Privacy Analyst Evaluation'!$A$46:$F$120,6,0),""))&amp;""</f>
        <v/>
      </c>
      <c r="G65" s="211"/>
      <c r="H65" s="210" t="str">
        <f>IFERROR(IF($H64+1&gt;'(backend scoring)'!$Q$335,"",$H64+1),"")</f>
        <v/>
      </c>
      <c r="I65" s="210" t="str">
        <f>_xlfn.XLOOKUP($H65,'(backend scoring)'!$S$2:$S$333,'(backend scoring)'!$A$2:$A$333,"")</f>
        <v/>
      </c>
      <c r="J65" s="210" t="str">
        <f>IFERROR(VLOOKUP($I65,'Institution Evaluation'!$A$55:$F$346,2,0),IFERROR(VLOOKUP($I65,'Privacy Analyst Evaluation'!$A$46:$F$120,2,0),""))</f>
        <v/>
      </c>
      <c r="K65" s="210" t="str">
        <f>IFERROR(VLOOKUP($I65,'Institution Evaluation'!$A$55:$F$346,3,0),IFERROR(VLOOKUP($I65,'Privacy Analyst Evaluation'!$A$46:$F$120,3,0),""))&amp;""</f>
        <v/>
      </c>
      <c r="L65" s="210" t="str">
        <f>IFERROR(VLOOKUP($I65,'Institution Evaluation'!$A$55:$F$346,4,0),IFERROR(VLOOKUP($I65,'Privacy Analyst Evaluation'!$A$46:$F$120,4,0),""))&amp;""</f>
        <v/>
      </c>
      <c r="M65" s="210"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x14ac:dyDescent="0.2">
      <c r="A66" s="210">
        <f>IFERROR(IF($A65+1&gt;'(backend scoring)'!$T$335,"",$A65+1),"")</f>
        <v>42</v>
      </c>
      <c r="B66" s="210" t="str">
        <f>_xlfn.XLOOKUP($A66,'(backend scoring)'!$V$2:$V$333,'(backend scoring)'!$A$2:$A$333,"")</f>
        <v>DATA-07</v>
      </c>
      <c r="C66" s="210" t="str">
        <f>IFERROR(VLOOKUP($B66,'Institution Evaluation'!$A$55:$F$346,2,0),IFERROR(VLOOKUP($B66,'Privacy Analyst Evaluation'!$A$46:$F$120,2,0),""))&amp;""</f>
        <v>Do backups containing the institution's data ever leave the institution's data zone either physically or via network routing?*</v>
      </c>
      <c r="D66" s="210" t="str">
        <f>IFERROR(VLOOKUP($B66,'Institution Evaluation'!$A$55:$F$346,3,0),IFERROR(VLOOKUP($B66,'Privacy Analyst Evaluation'!$A$46:$F$120,3,0),""))&amp;""</f>
        <v>Yes</v>
      </c>
      <c r="E66" s="210" t="str">
        <f>IFERROR(VLOOKUP($B66,'Institution Evaluation'!$A$55:$F$346,4,0),IFERROR(VLOOKUP($B66,'Privacy Analyst Evaluation'!$A$46:$F$120,4,0),""))&amp;""</f>
        <v>Data are stored at IU in Bloomington Indiana and in Qualtrics platform</v>
      </c>
      <c r="F66" s="210" t="str">
        <f>IFERROR(VLOOKUP($B66,'Institution Evaluation'!$A$55:$F$346,6,0),IFERROR(VLOOKUP($B66,'Privacy Analyst Evaluation'!$A$46:$F$120,6,0),""))&amp;""</f>
        <v/>
      </c>
      <c r="G66" s="211"/>
      <c r="H66" s="210" t="str">
        <f>IFERROR(IF($H65+1&gt;'(backend scoring)'!$Q$335,"",$H65+1),"")</f>
        <v/>
      </c>
      <c r="I66" s="210" t="str">
        <f>_xlfn.XLOOKUP($H66,'(backend scoring)'!$S$2:$S$333,'(backend scoring)'!$A$2:$A$333,"")</f>
        <v/>
      </c>
      <c r="J66" s="210" t="str">
        <f>IFERROR(VLOOKUP($I66,'Institution Evaluation'!$A$55:$F$346,2,0),IFERROR(VLOOKUP($I66,'Privacy Analyst Evaluation'!$A$46:$F$120,2,0),""))</f>
        <v/>
      </c>
      <c r="K66" s="210" t="str">
        <f>IFERROR(VLOOKUP($I66,'Institution Evaluation'!$A$55:$F$346,3,0),IFERROR(VLOOKUP($I66,'Privacy Analyst Evaluation'!$A$46:$F$120,3,0),""))&amp;""</f>
        <v/>
      </c>
      <c r="L66" s="210" t="str">
        <f>IFERROR(VLOOKUP($I66,'Institution Evaluation'!$A$55:$F$346,4,0),IFERROR(VLOOKUP($I66,'Privacy Analyst Evaluation'!$A$46:$F$120,4,0),""))&amp;""</f>
        <v/>
      </c>
      <c r="M66" s="210"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2">
      <c r="A67" s="210">
        <f>IFERROR(IF($A66+1&gt;'(backend scoring)'!$T$335,"",$A66+1),"")</f>
        <v>43</v>
      </c>
      <c r="B67" s="210" t="str">
        <f>_xlfn.XLOOKUP($A67,'(backend scoring)'!$V$2:$V$333,'(backend scoring)'!$A$2:$A$333,"")</f>
        <v>DATA-08</v>
      </c>
      <c r="C67" s="210" t="str">
        <f>IFERROR(VLOOKUP($B67,'Institution Evaluation'!$A$55:$F$346,2,0),IFERROR(VLOOKUP($B67,'Privacy Analyst Evaluation'!$A$46:$F$120,2,0),""))&amp;""</f>
        <v>Is media used for long-term retention of business data and archival purposes stored in a secure, environmentally protected area?*</v>
      </c>
      <c r="D67" s="210" t="str">
        <f>IFERROR(VLOOKUP($B67,'Institution Evaluation'!$A$55:$F$346,3,0),IFERROR(VLOOKUP($B67,'Privacy Analyst Evaluation'!$A$46:$F$120,3,0),""))&amp;""</f>
        <v>Yes</v>
      </c>
      <c r="E67" s="210" t="str">
        <f>IFERROR(VLOOKUP($B67,'Institution Evaluation'!$A$55:$F$346,4,0),IFERROR(VLOOKUP($B67,'Privacy Analyst Evaluation'!$A$46:$F$120,4,0),""))&amp;""</f>
        <v/>
      </c>
      <c r="F67" s="210" t="str">
        <f>IFERROR(VLOOKUP($B67,'Institution Evaluation'!$A$55:$F$346,6,0),IFERROR(VLOOKUP($B67,'Privacy Analyst Evaluation'!$A$46:$F$120,6,0),""))&amp;""</f>
        <v/>
      </c>
      <c r="G67" s="211"/>
      <c r="H67" s="210" t="str">
        <f>IFERROR(IF($H66+1&gt;'(backend scoring)'!$Q$335,"",$H66+1),"")</f>
        <v/>
      </c>
      <c r="I67" s="210" t="str">
        <f>_xlfn.XLOOKUP($H67,'(backend scoring)'!$S$2:$S$333,'(backend scoring)'!$A$2:$A$333,"")</f>
        <v/>
      </c>
      <c r="J67" s="210" t="str">
        <f>IFERROR(VLOOKUP($I67,'Institution Evaluation'!$A$55:$F$346,2,0),IFERROR(VLOOKUP($I67,'Privacy Analyst Evaluation'!$A$46:$F$120,2,0),""))</f>
        <v/>
      </c>
      <c r="K67" s="210" t="str">
        <f>IFERROR(VLOOKUP($I67,'Institution Evaluation'!$A$55:$F$346,3,0),IFERROR(VLOOKUP($I67,'Privacy Analyst Evaluation'!$A$46:$F$120,3,0),""))&amp;""</f>
        <v/>
      </c>
      <c r="L67" s="210" t="str">
        <f>IFERROR(VLOOKUP($I67,'Institution Evaluation'!$A$55:$F$346,4,0),IFERROR(VLOOKUP($I67,'Privacy Analyst Evaluation'!$A$46:$F$120,4,0),""))&amp;""</f>
        <v/>
      </c>
      <c r="M67" s="210"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x14ac:dyDescent="0.2">
      <c r="A68" s="210">
        <f>IFERROR(IF($A67+1&gt;'(backend scoring)'!$T$335,"",$A67+1),"")</f>
        <v>44</v>
      </c>
      <c r="B68" s="210" t="str">
        <f>_xlfn.XLOOKUP($A68,'(backend scoring)'!$V$2:$V$333,'(backend scoring)'!$A$2:$A$333,"")</f>
        <v>DCTR-06</v>
      </c>
      <c r="C68" s="210" t="str">
        <f>IFERROR(VLOOKUP($B68,'Institution Evaluation'!$A$55:$F$346,2,0),IFERROR(VLOOKUP($B68,'Privacy Analyst Evaluation'!$A$46:$F$120,2,0),""))&amp;""</f>
        <v>Does a physical barrier fully enclose the physical space, preventing unauthorized physical contact with any of your devices?*</v>
      </c>
      <c r="D68" s="210" t="str">
        <f>IFERROR(VLOOKUP($B68,'Institution Evaluation'!$A$55:$F$346,3,0),IFERROR(VLOOKUP($B68,'Privacy Analyst Evaluation'!$A$46:$F$120,3,0),""))&amp;""</f>
        <v>Yes</v>
      </c>
      <c r="E68" s="210" t="str">
        <f>IFERROR(VLOOKUP($B68,'Institution Evaluation'!$A$55:$F$346,4,0),IFERROR(VLOOKUP($B68,'Privacy Analyst Evaluation'!$A$46:$F$120,4,0),""))&amp;""</f>
        <v>This question does not apply.</v>
      </c>
      <c r="F68" s="210" t="str">
        <f>IFERROR(VLOOKUP($B68,'Institution Evaluation'!$A$55:$F$346,6,0),IFERROR(VLOOKUP($B68,'Privacy Analyst Evaluation'!$A$46:$F$120,6,0),""))&amp;""</f>
        <v/>
      </c>
      <c r="G68" s="211"/>
      <c r="H68" s="210" t="str">
        <f>IFERROR(IF($H67+1&gt;'(backend scoring)'!$Q$335,"",$H67+1),"")</f>
        <v/>
      </c>
      <c r="I68" s="210" t="str">
        <f>_xlfn.XLOOKUP($H68,'(backend scoring)'!$S$2:$S$333,'(backend scoring)'!$A$2:$A$333,"")</f>
        <v/>
      </c>
      <c r="J68" s="210" t="str">
        <f>IFERROR(VLOOKUP($I68,'Institution Evaluation'!$A$55:$F$346,2,0),IFERROR(VLOOKUP($I68,'Privacy Analyst Evaluation'!$A$46:$F$120,2,0),""))</f>
        <v/>
      </c>
      <c r="K68" s="210" t="str">
        <f>IFERROR(VLOOKUP($I68,'Institution Evaluation'!$A$55:$F$346,3,0),IFERROR(VLOOKUP($I68,'Privacy Analyst Evaluation'!$A$46:$F$120,3,0),""))&amp;""</f>
        <v/>
      </c>
      <c r="L68" s="210" t="str">
        <f>IFERROR(VLOOKUP($I68,'Institution Evaluation'!$A$55:$F$346,4,0),IFERROR(VLOOKUP($I68,'Privacy Analyst Evaluation'!$A$46:$F$120,4,0),""))&amp;""</f>
        <v/>
      </c>
      <c r="M68" s="210"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30" x14ac:dyDescent="0.2">
      <c r="A69" s="210">
        <f>IFERROR(IF($A68+1&gt;'(backend scoring)'!$T$335,"",$A68+1),"")</f>
        <v>45</v>
      </c>
      <c r="B69" s="210" t="str">
        <f>_xlfn.XLOOKUP($A69,'(backend scoring)'!$V$2:$V$333,'(backend scoring)'!$A$2:$A$333,"")</f>
        <v>DCTR-10</v>
      </c>
      <c r="C69" s="210" t="str">
        <f>IFERROR(VLOOKUP($B69,'Institution Evaluation'!$A$55:$F$346,2,0),IFERROR(VLOOKUP($B69,'Privacy Analyst Evaluation'!$A$46:$F$120,2,0),""))&amp;""</f>
        <v>Are redundant power strategies tested?*</v>
      </c>
      <c r="D69" s="210" t="str">
        <f>IFERROR(VLOOKUP($B69,'Institution Evaluation'!$A$55:$F$346,3,0),IFERROR(VLOOKUP($B69,'Privacy Analyst Evaluation'!$A$46:$F$120,3,0),""))&amp;""</f>
        <v>Yes</v>
      </c>
      <c r="E69" s="210" t="str">
        <f>IFERROR(VLOOKUP($B69,'Institution Evaluation'!$A$55:$F$346,4,0),IFERROR(VLOOKUP($B69,'Privacy Analyst Evaluation'!$A$46:$F$120,4,0),""))&amp;""</f>
        <v>This question does not apply.</v>
      </c>
      <c r="F69" s="210" t="str">
        <f>IFERROR(VLOOKUP($B69,'Institution Evaluation'!$A$55:$F$346,6,0),IFERROR(VLOOKUP($B69,'Privacy Analyst Evaluation'!$A$46:$F$120,6,0),""))&amp;""</f>
        <v/>
      </c>
      <c r="G69" s="211"/>
      <c r="H69" s="210" t="str">
        <f>IFERROR(IF($H68+1&gt;'(backend scoring)'!$Q$335,"",$H68+1),"")</f>
        <v/>
      </c>
      <c r="I69" s="210" t="str">
        <f>_xlfn.XLOOKUP($H69,'(backend scoring)'!$S$2:$S$333,'(backend scoring)'!$A$2:$A$333,"")</f>
        <v/>
      </c>
      <c r="J69" s="210" t="str">
        <f>IFERROR(VLOOKUP($I69,'Institution Evaluation'!$A$55:$F$346,2,0),IFERROR(VLOOKUP($I69,'Privacy Analyst Evaluation'!$A$46:$F$120,2,0),""))</f>
        <v/>
      </c>
      <c r="K69" s="210" t="str">
        <f>IFERROR(VLOOKUP($I69,'Institution Evaluation'!$A$55:$F$346,3,0),IFERROR(VLOOKUP($I69,'Privacy Analyst Evaluation'!$A$46:$F$120,3,0),""))&amp;""</f>
        <v/>
      </c>
      <c r="L69" s="210" t="str">
        <f>IFERROR(VLOOKUP($I69,'Institution Evaluation'!$A$55:$F$346,4,0),IFERROR(VLOOKUP($I69,'Privacy Analyst Evaluation'!$A$46:$F$120,4,0),""))&amp;""</f>
        <v/>
      </c>
      <c r="M69" s="210"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165" x14ac:dyDescent="0.2">
      <c r="A70" s="210">
        <f>IFERROR(IF($A69+1&gt;'(backend scoring)'!$T$335,"",$A69+1),"")</f>
        <v>46</v>
      </c>
      <c r="B70" s="210" t="str">
        <f>_xlfn.XLOOKUP($A70,'(backend scoring)'!$V$2:$V$333,'(backend scoring)'!$A$2:$A$333,"")</f>
        <v>FIDP-01</v>
      </c>
      <c r="C70" s="210" t="str">
        <f>IFERROR(VLOOKUP($B70,'Institution Evaluation'!$A$55:$F$346,2,0),IFERROR(VLOOKUP($B70,'Privacy Analyst Evaluation'!$A$46:$F$120,2,0),""))&amp;""</f>
        <v>Are you utilizing a stateful packet inspection (SPI) firewall?*</v>
      </c>
      <c r="D70" s="210" t="str">
        <f>IFERROR(VLOOKUP($B70,'Institution Evaluation'!$A$55:$F$346,3,0),IFERROR(VLOOKUP($B70,'Privacy Analyst Evaluation'!$A$46:$F$120,3,0),""))&amp;""</f>
        <v>Yes</v>
      </c>
      <c r="E70" s="210" t="str">
        <f>IFERROR(VLOOKUP($B70,'Institution Evaluation'!$A$55:$F$346,4,0),IFERROR(VLOOKUP($B70,'Privacy Analyst Evaluation'!$A$46:$F$120,4,0),""))&amp;""</f>
        <v>NSSE Shorts as a project does not. see IU Data Management https://datamanagement.iu.edu/index.html
See Qualtrics HECVAT 2025 for more details: https://bcsse.iu.edu/doc/bcsse/Qualtrics%20HECVAT%202025.xlsx</v>
      </c>
      <c r="F70" s="210" t="str">
        <f>IFERROR(VLOOKUP($B70,'Institution Evaluation'!$A$55:$F$346,6,0),IFERROR(VLOOKUP($B70,'Privacy Analyst Evaluation'!$A$46:$F$120,6,0),""))&amp;""</f>
        <v/>
      </c>
      <c r="G70" s="211"/>
      <c r="H70" s="210" t="str">
        <f>IFERROR(IF($H69+1&gt;'(backend scoring)'!$Q$335,"",$H69+1),"")</f>
        <v/>
      </c>
      <c r="I70" s="210" t="str">
        <f>_xlfn.XLOOKUP($H70,'(backend scoring)'!$S$2:$S$333,'(backend scoring)'!$A$2:$A$333,"")</f>
        <v/>
      </c>
      <c r="J70" s="210" t="str">
        <f>IFERROR(VLOOKUP($I70,'Institution Evaluation'!$A$55:$F$346,2,0),IFERROR(VLOOKUP($I70,'Privacy Analyst Evaluation'!$A$46:$F$120,2,0),""))</f>
        <v/>
      </c>
      <c r="K70" s="210" t="str">
        <f>IFERROR(VLOOKUP($I70,'Institution Evaluation'!$A$55:$F$346,3,0),IFERROR(VLOOKUP($I70,'Privacy Analyst Evaluation'!$A$46:$F$120,3,0),""))&amp;""</f>
        <v/>
      </c>
      <c r="L70" s="210" t="str">
        <f>IFERROR(VLOOKUP($I70,'Institution Evaluation'!$A$55:$F$346,4,0),IFERROR(VLOOKUP($I70,'Privacy Analyst Evaluation'!$A$46:$F$120,4,0),""))&amp;""</f>
        <v/>
      </c>
      <c r="M70" s="210"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165" x14ac:dyDescent="0.2">
      <c r="A71" s="210">
        <f>IFERROR(IF($A70+1&gt;'(backend scoring)'!$T$335,"",$A70+1),"")</f>
        <v>47</v>
      </c>
      <c r="B71" s="210" t="str">
        <f>_xlfn.XLOOKUP($A71,'(backend scoring)'!$V$2:$V$333,'(backend scoring)'!$A$2:$A$333,"")</f>
        <v>FIDP-02</v>
      </c>
      <c r="C71" s="210" t="str">
        <f>IFERROR(VLOOKUP($B71,'Institution Evaluation'!$A$55:$F$346,2,0),IFERROR(VLOOKUP($B71,'Privacy Analyst Evaluation'!$A$46:$F$120,2,0),""))&amp;""</f>
        <v>Do you have a documented policy for firewall change requests?*</v>
      </c>
      <c r="D71" s="210" t="str">
        <f>IFERROR(VLOOKUP($B71,'Institution Evaluation'!$A$55:$F$346,3,0),IFERROR(VLOOKUP($B71,'Privacy Analyst Evaluation'!$A$46:$F$120,3,0),""))&amp;""</f>
        <v>Yes</v>
      </c>
      <c r="E71" s="210" t="str">
        <f>IFERROR(VLOOKUP($B71,'Institution Evaluation'!$A$55:$F$346,4,0),IFERROR(VLOOKUP($B71,'Privacy Analyst Evaluation'!$A$46:$F$120,4,0),""))&amp;""</f>
        <v>NSSE Shorts as a project does not. see IU Data Management https://datamanagement.iu.edu/index.html
See Qualtrics HECVAT 2025 for more details: https://bcsse.iu.edu/doc/bcsse/Qualtrics%20HECVAT%202025.xlsx</v>
      </c>
      <c r="F71" s="210" t="str">
        <f>IFERROR(VLOOKUP($B71,'Institution Evaluation'!$A$55:$F$346,6,0),IFERROR(VLOOKUP($B71,'Privacy Analyst Evaluation'!$A$46:$F$120,6,0),""))&amp;""</f>
        <v/>
      </c>
      <c r="G71" s="211"/>
      <c r="H71" s="210" t="str">
        <f>IFERROR(IF($H70+1&gt;'(backend scoring)'!$Q$335,"",$H70+1),"")</f>
        <v/>
      </c>
      <c r="I71" s="210" t="str">
        <f>_xlfn.XLOOKUP($H71,'(backend scoring)'!$S$2:$S$333,'(backend scoring)'!$A$2:$A$333,"")</f>
        <v/>
      </c>
      <c r="J71" s="210" t="str">
        <f>IFERROR(VLOOKUP($I71,'Institution Evaluation'!$A$55:$F$346,2,0),IFERROR(VLOOKUP($I71,'Privacy Analyst Evaluation'!$A$46:$F$120,2,0),""))</f>
        <v/>
      </c>
      <c r="K71" s="210" t="str">
        <f>IFERROR(VLOOKUP($I71,'Institution Evaluation'!$A$55:$F$346,3,0),IFERROR(VLOOKUP($I71,'Privacy Analyst Evaluation'!$A$46:$F$120,3,0),""))&amp;""</f>
        <v/>
      </c>
      <c r="L71" s="210" t="str">
        <f>IFERROR(VLOOKUP($I71,'Institution Evaluation'!$A$55:$F$346,4,0),IFERROR(VLOOKUP($I71,'Privacy Analyst Evaluation'!$A$46:$F$120,4,0),""))&amp;""</f>
        <v/>
      </c>
      <c r="M71" s="210"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165" x14ac:dyDescent="0.2">
      <c r="A72" s="210">
        <f>IFERROR(IF($A71+1&gt;'(backend scoring)'!$T$335,"",$A71+1),"")</f>
        <v>48</v>
      </c>
      <c r="B72" s="210" t="str">
        <f>_xlfn.XLOOKUP($A72,'(backend scoring)'!$V$2:$V$333,'(backend scoring)'!$A$2:$A$333,"")</f>
        <v>FIDP-03</v>
      </c>
      <c r="C72" s="210" t="str">
        <f>IFERROR(VLOOKUP($B72,'Institution Evaluation'!$A$55:$F$346,2,0),IFERROR(VLOOKUP($B72,'Privacy Analyst Evaluation'!$A$46:$F$120,2,0),""))&amp;""</f>
        <v>Have you implemented an intrusion detection system (network-based)?*</v>
      </c>
      <c r="D72" s="210" t="str">
        <f>IFERROR(VLOOKUP($B72,'Institution Evaluation'!$A$55:$F$346,3,0),IFERROR(VLOOKUP($B72,'Privacy Analyst Evaluation'!$A$46:$F$120,3,0),""))&amp;""</f>
        <v>Yes</v>
      </c>
      <c r="E72" s="210" t="str">
        <f>IFERROR(VLOOKUP($B72,'Institution Evaluation'!$A$55:$F$346,4,0),IFERROR(VLOOKUP($B72,'Privacy Analyst Evaluation'!$A$46:$F$120,4,0),""))&amp;""</f>
        <v>NSSE Shorts as a project does not. see IU Data Management https://datamanagement.iu.edu/index.html
See Qualtrics HECVAT 2025 for more details: https://bcsse.iu.edu/doc/bcsse/Qualtrics%20HECVAT%202025.xlsx</v>
      </c>
      <c r="F72" s="210" t="str">
        <f>IFERROR(VLOOKUP($B72,'Institution Evaluation'!$A$55:$F$346,6,0),IFERROR(VLOOKUP($B72,'Privacy Analyst Evaluation'!$A$46:$F$120,6,0),""))&amp;""</f>
        <v/>
      </c>
      <c r="G72" s="211"/>
      <c r="H72" s="210" t="str">
        <f>IFERROR(IF($H71+1&gt;'(backend scoring)'!$Q$335,"",$H71+1),"")</f>
        <v/>
      </c>
      <c r="I72" s="210" t="str">
        <f>_xlfn.XLOOKUP($H72,'(backend scoring)'!$S$2:$S$333,'(backend scoring)'!$A$2:$A$333,"")</f>
        <v/>
      </c>
      <c r="J72" s="210" t="str">
        <f>IFERROR(VLOOKUP($I72,'Institution Evaluation'!$A$55:$F$346,2,0),IFERROR(VLOOKUP($I72,'Privacy Analyst Evaluation'!$A$46:$F$120,2,0),""))</f>
        <v/>
      </c>
      <c r="K72" s="210" t="str">
        <f>IFERROR(VLOOKUP($I72,'Institution Evaluation'!$A$55:$F$346,3,0),IFERROR(VLOOKUP($I72,'Privacy Analyst Evaluation'!$A$46:$F$120,3,0),""))&amp;""</f>
        <v/>
      </c>
      <c r="L72" s="210" t="str">
        <f>IFERROR(VLOOKUP($I72,'Institution Evaluation'!$A$55:$F$346,4,0),IFERROR(VLOOKUP($I72,'Privacy Analyst Evaluation'!$A$46:$F$120,4,0),""))&amp;""</f>
        <v/>
      </c>
      <c r="M72" s="210"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165" x14ac:dyDescent="0.2">
      <c r="A73" s="210">
        <f>IFERROR(IF($A72+1&gt;'(backend scoring)'!$T$335,"",$A72+1),"")</f>
        <v>49</v>
      </c>
      <c r="B73" s="210" t="str">
        <f>_xlfn.XLOOKUP($A73,'(backend scoring)'!$V$2:$V$333,'(backend scoring)'!$A$2:$A$333,"")</f>
        <v>FIDP-04</v>
      </c>
      <c r="C73" s="210" t="str">
        <f>IFERROR(VLOOKUP($B73,'Institution Evaluation'!$A$55:$F$346,2,0),IFERROR(VLOOKUP($B73,'Privacy Analyst Evaluation'!$A$46:$F$120,2,0),""))&amp;""</f>
        <v>Do you employ host-based intrusion detection?*</v>
      </c>
      <c r="D73" s="210" t="str">
        <f>IFERROR(VLOOKUP($B73,'Institution Evaluation'!$A$55:$F$346,3,0),IFERROR(VLOOKUP($B73,'Privacy Analyst Evaluation'!$A$46:$F$120,3,0),""))&amp;""</f>
        <v>Yes</v>
      </c>
      <c r="E73" s="210" t="str">
        <f>IFERROR(VLOOKUP($B73,'Institution Evaluation'!$A$55:$F$346,4,0),IFERROR(VLOOKUP($B73,'Privacy Analyst Evaluation'!$A$46:$F$120,4,0),""))&amp;""</f>
        <v>NSSE Shorts as a project does not. see IU Data Management https://datamanagement.iu.edu/index.html
See Qualtrics HECVAT 2025 for more details: https://bcsse.iu.edu/doc/bcsse/Qualtrics%20HECVAT%202025.xlsx</v>
      </c>
      <c r="F73" s="210" t="str">
        <f>IFERROR(VLOOKUP($B73,'Institution Evaluation'!$A$55:$F$346,6,0),IFERROR(VLOOKUP($B73,'Privacy Analyst Evaluation'!$A$46:$F$120,6,0),""))&amp;""</f>
        <v/>
      </c>
      <c r="G73" s="211"/>
      <c r="H73" s="210" t="str">
        <f>IFERROR(IF($H72+1&gt;'(backend scoring)'!$Q$335,"",$H72+1),"")</f>
        <v/>
      </c>
      <c r="I73" s="210" t="str">
        <f>_xlfn.XLOOKUP($H73,'(backend scoring)'!$S$2:$S$333,'(backend scoring)'!$A$2:$A$333,"")</f>
        <v/>
      </c>
      <c r="J73" s="210" t="str">
        <f>IFERROR(VLOOKUP($I73,'Institution Evaluation'!$A$55:$F$346,2,0),IFERROR(VLOOKUP($I73,'Privacy Analyst Evaluation'!$A$46:$F$120,2,0),""))</f>
        <v/>
      </c>
      <c r="K73" s="210" t="str">
        <f>IFERROR(VLOOKUP($I73,'Institution Evaluation'!$A$55:$F$346,3,0),IFERROR(VLOOKUP($I73,'Privacy Analyst Evaluation'!$A$46:$F$120,3,0),""))&amp;""</f>
        <v/>
      </c>
      <c r="L73" s="210" t="str">
        <f>IFERROR(VLOOKUP($I73,'Institution Evaluation'!$A$55:$F$346,4,0),IFERROR(VLOOKUP($I73,'Privacy Analyst Evaluation'!$A$46:$F$120,4,0),""))&amp;""</f>
        <v/>
      </c>
      <c r="M73" s="210"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165" x14ac:dyDescent="0.2">
      <c r="A74" s="210">
        <f>IFERROR(IF($A73+1&gt;'(backend scoring)'!$T$335,"",$A73+1),"")</f>
        <v>50</v>
      </c>
      <c r="B74" s="210" t="str">
        <f>_xlfn.XLOOKUP($A74,'(backend scoring)'!$V$2:$V$333,'(backend scoring)'!$A$2:$A$333,"")</f>
        <v>FIDP-05</v>
      </c>
      <c r="C74" s="210" t="str">
        <f>IFERROR(VLOOKUP($B74,'Institution Evaluation'!$A$55:$F$346,2,0),IFERROR(VLOOKUP($B74,'Privacy Analyst Evaluation'!$A$46:$F$120,2,0),""))&amp;""</f>
        <v>Are audit logs available for all changes to the network, firewall, IDS, and IPS systems?*</v>
      </c>
      <c r="D74" s="210" t="str">
        <f>IFERROR(VLOOKUP($B74,'Institution Evaluation'!$A$55:$F$346,3,0),IFERROR(VLOOKUP($B74,'Privacy Analyst Evaluation'!$A$46:$F$120,3,0),""))&amp;""</f>
        <v>Yes</v>
      </c>
      <c r="E74" s="210" t="str">
        <f>IFERROR(VLOOKUP($B74,'Institution Evaluation'!$A$55:$F$346,4,0),IFERROR(VLOOKUP($B74,'Privacy Analyst Evaluation'!$A$46:$F$120,4,0),""))&amp;""</f>
        <v>NSSE Shorts as a project does not. see IU Data Management https://datamanagement.iu.edu/index.html
See Qualtrics HECVAT 2025 for more details: https://bcsse.iu.edu/doc/bcsse/Qualtrics%20HECVAT%202025.xlsx</v>
      </c>
      <c r="F74" s="210" t="str">
        <f>IFERROR(VLOOKUP($B74,'Institution Evaluation'!$A$55:$F$346,6,0),IFERROR(VLOOKUP($B74,'Privacy Analyst Evaluation'!$A$46:$F$120,6,0),""))&amp;""</f>
        <v/>
      </c>
      <c r="G74" s="211"/>
      <c r="H74" s="210" t="str">
        <f>IFERROR(IF($H73+1&gt;'(backend scoring)'!$Q$335,"",$H73+1),"")</f>
        <v/>
      </c>
      <c r="I74" s="210" t="str">
        <f>_xlfn.XLOOKUP($H74,'(backend scoring)'!$S$2:$S$333,'(backend scoring)'!$A$2:$A$333,"")</f>
        <v/>
      </c>
      <c r="J74" s="210" t="str">
        <f>IFERROR(VLOOKUP($I74,'Institution Evaluation'!$A$55:$F$346,2,0),IFERROR(VLOOKUP($I74,'Privacy Analyst Evaluation'!$A$46:$F$120,2,0),""))</f>
        <v/>
      </c>
      <c r="K74" s="210" t="str">
        <f>IFERROR(VLOOKUP($I74,'Institution Evaluation'!$A$55:$F$346,3,0),IFERROR(VLOOKUP($I74,'Privacy Analyst Evaluation'!$A$46:$F$120,3,0),""))&amp;""</f>
        <v/>
      </c>
      <c r="L74" s="210" t="str">
        <f>IFERROR(VLOOKUP($I74,'Institution Evaluation'!$A$55:$F$346,4,0),IFERROR(VLOOKUP($I74,'Privacy Analyst Evaluation'!$A$46:$F$120,4,0),""))&amp;""</f>
        <v/>
      </c>
      <c r="M74" s="210"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105" x14ac:dyDescent="0.2">
      <c r="A75" s="210">
        <f>IFERROR(IF($A74+1&gt;'(backend scoring)'!$T$335,"",$A74+1),"")</f>
        <v>51</v>
      </c>
      <c r="B75" s="210" t="str">
        <f>_xlfn.XLOOKUP($A75,'(backend scoring)'!$V$2:$V$333,'(backend scoring)'!$A$2:$A$333,"")</f>
        <v>PPPR-01</v>
      </c>
      <c r="C75" s="210" t="str">
        <f>IFERROR(VLOOKUP($B75,'Institution Evaluation'!$A$55:$F$346,2,0),IFERROR(VLOOKUP($B75,'Privacy Analyst Evaluation'!$A$46:$F$120,2,0),""))&amp;""</f>
        <v>Do you have a documented patch management process?*</v>
      </c>
      <c r="D75" s="210" t="str">
        <f>IFERROR(VLOOKUP($B75,'Institution Evaluation'!$A$55:$F$346,3,0),IFERROR(VLOOKUP($B75,'Privacy Analyst Evaluation'!$A$46:$F$120,3,0),""))&amp;""</f>
        <v>No</v>
      </c>
      <c r="E75" s="210" t="str">
        <f>IFERROR(VLOOKUP($B75,'Institution Evaluation'!$A$55:$F$346,4,0),IFERROR(VLOOKUP($B75,'Privacy Analyst Evaluation'!$A$46:$F$120,4,0),""))&amp;""</f>
        <v>NSSE Shorts as a project does not. See Qualtrics HECVAT 2025 for more details: https://bcsse.iu.edu/doc/bcsse/Qualtrics%20HECVAT%202025.xlsx</v>
      </c>
      <c r="F75" s="210" t="str">
        <f>IFERROR(VLOOKUP($B75,'Institution Evaluation'!$A$55:$F$346,6,0),IFERROR(VLOOKUP($B75,'Privacy Analyst Evaluation'!$A$46:$F$120,6,0),""))&amp;""</f>
        <v/>
      </c>
      <c r="G75" s="211"/>
      <c r="H75" s="210" t="str">
        <f>IFERROR(IF($H74+1&gt;'(backend scoring)'!$Q$335,"",$H74+1),"")</f>
        <v/>
      </c>
      <c r="I75" s="210" t="str">
        <f>_xlfn.XLOOKUP($H75,'(backend scoring)'!$S$2:$S$333,'(backend scoring)'!$A$2:$A$333,"")</f>
        <v/>
      </c>
      <c r="J75" s="210" t="str">
        <f>IFERROR(VLOOKUP($I75,'Institution Evaluation'!$A$55:$F$346,2,0),IFERROR(VLOOKUP($I75,'Privacy Analyst Evaluation'!$A$46:$F$120,2,0),""))</f>
        <v/>
      </c>
      <c r="K75" s="210" t="str">
        <f>IFERROR(VLOOKUP($I75,'Institution Evaluation'!$A$55:$F$346,3,0),IFERROR(VLOOKUP($I75,'Privacy Analyst Evaluation'!$A$46:$F$120,3,0),""))&amp;""</f>
        <v/>
      </c>
      <c r="L75" s="210" t="str">
        <f>IFERROR(VLOOKUP($I75,'Institution Evaluation'!$A$55:$F$346,4,0),IFERROR(VLOOKUP($I75,'Privacy Analyst Evaluation'!$A$46:$F$120,4,0),""))&amp;""</f>
        <v/>
      </c>
      <c r="M75" s="210"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255" x14ac:dyDescent="0.2">
      <c r="A76" s="210">
        <f>IFERROR(IF($A75+1&gt;'(backend scoring)'!$T$335,"",$A75+1),"")</f>
        <v>52</v>
      </c>
      <c r="B76" s="210" t="str">
        <f>_xlfn.XLOOKUP($A76,'(backend scoring)'!$V$2:$V$333,'(backend scoring)'!$A$2:$A$333,"")</f>
        <v>PPPR-02</v>
      </c>
      <c r="C76" s="210" t="str">
        <f>IFERROR(VLOOKUP($B76,'Institution Evaluation'!$A$55:$F$346,2,0),IFERROR(VLOOKUP($B76,'Privacy Analyst Evaluation'!$A$46:$F$120,2,0),""))&amp;""</f>
        <v>Can your organization comply with institutional policies on privacy and data protection with regard to users of institutional systems, if required?*</v>
      </c>
      <c r="D76" s="210" t="str">
        <f>IFERROR(VLOOKUP($B76,'Institution Evaluation'!$A$55:$F$346,3,0),IFERROR(VLOOKUP($B76,'Privacy Analyst Evaluation'!$A$46:$F$120,3,0),""))&amp;""</f>
        <v>Yes</v>
      </c>
      <c r="E76" s="210" t="str">
        <f>IFERROR(VLOOKUP($B76,'Institution Evaluation'!$A$55:$F$346,4,0),IFERROR(VLOOKUP($B76,'Privacy Analyst Evaluation'!$A$46:$F$120,4,0),""))&amp;""</f>
        <v>NSSE Shorts will make every attempt to comply with institutional policies regarding privacy and data protection. Also see Managing IU Data: https://datamanagement.iu.edu/index.html
Qualtrics HECVAT 2025 for details regarding Qualtrics documentation: https://bcsse.iu.edu/doc/bcsse/Qualtrics%20HECVAT%202025.xlsx</v>
      </c>
      <c r="F76" s="210" t="str">
        <f>IFERROR(VLOOKUP($B76,'Institution Evaluation'!$A$55:$F$346,6,0),IFERROR(VLOOKUP($B76,'Privacy Analyst Evaluation'!$A$46:$F$120,6,0),""))&amp;""</f>
        <v/>
      </c>
      <c r="G76" s="211"/>
      <c r="H76" s="210" t="str">
        <f>IFERROR(IF($H75+1&gt;'(backend scoring)'!$Q$335,"",$H75+1),"")</f>
        <v/>
      </c>
      <c r="I76" s="210" t="str">
        <f>_xlfn.XLOOKUP($H76,'(backend scoring)'!$S$2:$S$333,'(backend scoring)'!$A$2:$A$333,"")</f>
        <v/>
      </c>
      <c r="J76" s="210" t="str">
        <f>IFERROR(VLOOKUP($I76,'Institution Evaluation'!$A$55:$F$346,2,0),IFERROR(VLOOKUP($I76,'Privacy Analyst Evaluation'!$A$46:$F$120,2,0),""))</f>
        <v/>
      </c>
      <c r="K76" s="210" t="str">
        <f>IFERROR(VLOOKUP($I76,'Institution Evaluation'!$A$55:$F$346,3,0),IFERROR(VLOOKUP($I76,'Privacy Analyst Evaluation'!$A$46:$F$120,3,0),""))&amp;""</f>
        <v/>
      </c>
      <c r="L76" s="210" t="str">
        <f>IFERROR(VLOOKUP($I76,'Institution Evaluation'!$A$55:$F$346,4,0),IFERROR(VLOOKUP($I76,'Privacy Analyst Evaluation'!$A$46:$F$120,4,0),""))&amp;""</f>
        <v/>
      </c>
      <c r="M76" s="210"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60" x14ac:dyDescent="0.2">
      <c r="A77" s="210">
        <f>IFERROR(IF($A76+1&gt;'(backend scoring)'!$T$335,"",$A76+1),"")</f>
        <v>53</v>
      </c>
      <c r="B77" s="210" t="str">
        <f>_xlfn.XLOOKUP($A77,'(backend scoring)'!$V$2:$V$333,'(backend scoring)'!$A$2:$A$333,"")</f>
        <v>PPPR-03</v>
      </c>
      <c r="C77" s="210" t="str">
        <f>IFERROR(VLOOKUP($B77,'Institution Evaluation'!$A$55:$F$346,2,0),IFERROR(VLOOKUP($B77,'Privacy Analyst Evaluation'!$A$46:$F$120,2,0),""))&amp;""</f>
        <v>Is your company subject to the institution's geographic region's laws and regulations?*</v>
      </c>
      <c r="D77" s="210" t="str">
        <f>IFERROR(VLOOKUP($B77,'Institution Evaluation'!$A$55:$F$346,3,0),IFERROR(VLOOKUP($B77,'Privacy Analyst Evaluation'!$A$46:$F$120,3,0),""))&amp;""</f>
        <v>Yes</v>
      </c>
      <c r="E77" s="210" t="str">
        <f>IFERROR(VLOOKUP($B77,'Institution Evaluation'!$A$55:$F$346,4,0),IFERROR(VLOOKUP($B77,'Privacy Analyst Evaluation'!$A$46:$F$120,4,0),""))&amp;""</f>
        <v>NSSE Shorts is part of Indiana University that operates in Bloomington, Indiana</v>
      </c>
      <c r="F77" s="210" t="str">
        <f>IFERROR(VLOOKUP($B77,'Institution Evaluation'!$A$55:$F$346,6,0),IFERROR(VLOOKUP($B77,'Privacy Analyst Evaluation'!$A$46:$F$120,6,0),""))&amp;""</f>
        <v/>
      </c>
      <c r="G77" s="211"/>
      <c r="H77" s="210" t="str">
        <f>IFERROR(IF($H76+1&gt;'(backend scoring)'!$Q$335,"",$H76+1),"")</f>
        <v/>
      </c>
      <c r="I77" s="210" t="str">
        <f>_xlfn.XLOOKUP($H77,'(backend scoring)'!$S$2:$S$333,'(backend scoring)'!$A$2:$A$333,"")</f>
        <v/>
      </c>
      <c r="J77" s="210" t="str">
        <f>IFERROR(VLOOKUP($I77,'Institution Evaluation'!$A$55:$F$346,2,0),IFERROR(VLOOKUP($I77,'Privacy Analyst Evaluation'!$A$46:$F$120,2,0),""))</f>
        <v/>
      </c>
      <c r="K77" s="210" t="str">
        <f>IFERROR(VLOOKUP($I77,'Institution Evaluation'!$A$55:$F$346,3,0),IFERROR(VLOOKUP($I77,'Privacy Analyst Evaluation'!$A$46:$F$120,3,0),""))&amp;""</f>
        <v/>
      </c>
      <c r="L77" s="210" t="str">
        <f>IFERROR(VLOOKUP($I77,'Institution Evaluation'!$A$55:$F$346,4,0),IFERROR(VLOOKUP($I77,'Privacy Analyst Evaluation'!$A$46:$F$120,4,0),""))&amp;""</f>
        <v/>
      </c>
      <c r="M77" s="210"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165" x14ac:dyDescent="0.2">
      <c r="A78" s="210">
        <f>IFERROR(IF($A77+1&gt;'(backend scoring)'!$T$335,"",$A77+1),"")</f>
        <v>54</v>
      </c>
      <c r="B78" s="210" t="str">
        <f>_xlfn.XLOOKUP($A78,'(backend scoring)'!$V$2:$V$333,'(backend scoring)'!$A$2:$A$333,"")</f>
        <v>VULN-01</v>
      </c>
      <c r="C78" s="210" t="str">
        <f>IFERROR(VLOOKUP($B78,'Institution Evaluation'!$A$55:$F$346,2,0),IFERROR(VLOOKUP($B78,'Privacy Analyst Evaluation'!$A$46:$F$120,2,0),""))&amp;""</f>
        <v>Are your systems and applications scanned with an authenticated user account for vulnerabilities (that are remediated) prior to new releases?*</v>
      </c>
      <c r="D78" s="210" t="str">
        <f>IFERROR(VLOOKUP($B78,'Institution Evaluation'!$A$55:$F$346,3,0),IFERROR(VLOOKUP($B78,'Privacy Analyst Evaluation'!$A$46:$F$120,3,0),""))&amp;""</f>
        <v>Yes</v>
      </c>
      <c r="E78" s="210" t="str">
        <f>IFERROR(VLOOKUP($B78,'Institution Evaluation'!$A$55:$F$346,4,0),IFERROR(VLOOKUP($B78,'Privacy Analyst Evaluation'!$A$46:$F$120,4,0),""))&amp;""</f>
        <v>NSSE Shorts as a project does not. see IU Data Management https://datamanagement.iu.edu/index.html
See Qualtrics HECVAT 2025 for more details: https://bcsse.iu.edu/doc/bcsse/Qualtrics%20HECVAT%202025.xlsx</v>
      </c>
      <c r="F78" s="210" t="str">
        <f>IFERROR(VLOOKUP($B78,'Institution Evaluation'!$A$55:$F$346,6,0),IFERROR(VLOOKUP($B78,'Privacy Analyst Evaluation'!$A$46:$F$120,6,0),""))&amp;""</f>
        <v/>
      </c>
      <c r="G78" s="211"/>
      <c r="H78" s="210" t="str">
        <f>IFERROR(IF($H77+1&gt;'(backend scoring)'!$Q$335,"",$H77+1),"")</f>
        <v/>
      </c>
      <c r="I78" s="210" t="str">
        <f>_xlfn.XLOOKUP($H78,'(backend scoring)'!$S$2:$S$333,'(backend scoring)'!$A$2:$A$333,"")</f>
        <v/>
      </c>
      <c r="J78" s="210" t="str">
        <f>IFERROR(VLOOKUP($I78,'Institution Evaluation'!$A$55:$F$346,2,0),IFERROR(VLOOKUP($I78,'Privacy Analyst Evaluation'!$A$46:$F$120,2,0),""))</f>
        <v/>
      </c>
      <c r="K78" s="210" t="str">
        <f>IFERROR(VLOOKUP($I78,'Institution Evaluation'!$A$55:$F$346,3,0),IFERROR(VLOOKUP($I78,'Privacy Analyst Evaluation'!$A$46:$F$120,3,0),""))&amp;""</f>
        <v/>
      </c>
      <c r="L78" s="210" t="str">
        <f>IFERROR(VLOOKUP($I78,'Institution Evaluation'!$A$55:$F$346,4,0),IFERROR(VLOOKUP($I78,'Privacy Analyst Evaluation'!$A$46:$F$120,4,0),""))&amp;""</f>
        <v/>
      </c>
      <c r="M78" s="210"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65" x14ac:dyDescent="0.2">
      <c r="A79" s="210">
        <f>IFERROR(IF($A78+1&gt;'(backend scoring)'!$T$335,"",$A78+1),"")</f>
        <v>55</v>
      </c>
      <c r="B79" s="210" t="str">
        <f>_xlfn.XLOOKUP($A79,'(backend scoring)'!$V$2:$V$333,'(backend scoring)'!$A$2:$A$333,"")</f>
        <v>VULN-02</v>
      </c>
      <c r="C79" s="210" t="str">
        <f>IFERROR(VLOOKUP($B79,'Institution Evaluation'!$A$55:$F$346,2,0),IFERROR(VLOOKUP($B79,'Privacy Analyst Evaluation'!$A$46:$F$120,2,0),""))&amp;""</f>
        <v>Will you provide results of application and system vulnerability scans to the institution?*</v>
      </c>
      <c r="D79" s="210" t="str">
        <f>IFERROR(VLOOKUP($B79,'Institution Evaluation'!$A$55:$F$346,3,0),IFERROR(VLOOKUP($B79,'Privacy Analyst Evaluation'!$A$46:$F$120,3,0),""))&amp;""</f>
        <v>Yes</v>
      </c>
      <c r="E79" s="210" t="str">
        <f>IFERROR(VLOOKUP($B79,'Institution Evaluation'!$A$55:$F$346,4,0),IFERROR(VLOOKUP($B79,'Privacy Analyst Evaluation'!$A$46:$F$120,4,0),""))&amp;""</f>
        <v>NSSE Shorts as a project does not. see IU Data Management https://datamanagement.iu.edu/index.html
See Qualtrics HECVAT 2025 for more details: https://bcsse.iu.edu/doc/bcsse/Qualtrics%20HECVAT%202025.xlsx</v>
      </c>
      <c r="F79" s="210" t="str">
        <f>IFERROR(VLOOKUP($B79,'Institution Evaluation'!$A$55:$F$346,6,0),IFERROR(VLOOKUP($B79,'Privacy Analyst Evaluation'!$A$46:$F$120,6,0),""))&amp;""</f>
        <v/>
      </c>
      <c r="G79" s="211"/>
      <c r="H79" s="210" t="str">
        <f>IFERROR(IF($H78+1&gt;'(backend scoring)'!$Q$335,"",$H78+1),"")</f>
        <v/>
      </c>
      <c r="I79" s="210" t="str">
        <f>_xlfn.XLOOKUP($H79,'(backend scoring)'!$S$2:$S$333,'(backend scoring)'!$A$2:$A$333,"")</f>
        <v/>
      </c>
      <c r="J79" s="210" t="str">
        <f>IFERROR(VLOOKUP($I79,'Institution Evaluation'!$A$55:$F$346,2,0),IFERROR(VLOOKUP($I79,'Privacy Analyst Evaluation'!$A$46:$F$120,2,0),""))</f>
        <v/>
      </c>
      <c r="K79" s="210" t="str">
        <f>IFERROR(VLOOKUP($I79,'Institution Evaluation'!$A$55:$F$346,3,0),IFERROR(VLOOKUP($I79,'Privacy Analyst Evaluation'!$A$46:$F$120,3,0),""))&amp;""</f>
        <v/>
      </c>
      <c r="L79" s="210" t="str">
        <f>IFERROR(VLOOKUP($I79,'Institution Evaluation'!$A$55:$F$346,4,0),IFERROR(VLOOKUP($I79,'Privacy Analyst Evaluation'!$A$46:$F$120,4,0),""))&amp;""</f>
        <v/>
      </c>
      <c r="M79" s="210"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165" x14ac:dyDescent="0.2">
      <c r="A80" s="210">
        <f>IFERROR(IF($A79+1&gt;'(backend scoring)'!$T$335,"",$A79+1),"")</f>
        <v>56</v>
      </c>
      <c r="B80" s="210" t="str">
        <f>_xlfn.XLOOKUP($A80,'(backend scoring)'!$V$2:$V$333,'(backend scoring)'!$A$2:$A$333,"")</f>
        <v>VULN-03</v>
      </c>
      <c r="C80" s="210" t="str">
        <f>IFERROR(VLOOKUP($B80,'Institution Evaluation'!$A$55:$F$346,2,0),IFERROR(VLOOKUP($B80,'Privacy Analyst Evaluation'!$A$46:$F$120,2,0),""))&amp;""</f>
        <v>Will you allow the institution to perform its own vulnerability testing and/or scanning of your systems and/or application, provided that testing is performed at a mutually agreed upon time and date?*</v>
      </c>
      <c r="D80" s="210" t="str">
        <f>IFERROR(VLOOKUP($B80,'Institution Evaluation'!$A$55:$F$346,3,0),IFERROR(VLOOKUP($B80,'Privacy Analyst Evaluation'!$A$46:$F$120,3,0),""))&amp;""</f>
        <v>Yes</v>
      </c>
      <c r="E80" s="210" t="str">
        <f>IFERROR(VLOOKUP($B80,'Institution Evaluation'!$A$55:$F$346,4,0),IFERROR(VLOOKUP($B80,'Privacy Analyst Evaluation'!$A$46:$F$120,4,0),""))&amp;""</f>
        <v>NSSE Shorts as a project does not. see IU Data Management https://datamanagement.iu.edu/index.html
See Qualtrics HECVAT 2025 for more details: https://bcsse.iu.edu/doc/bcsse/Qualtrics%20HECVAT%202025.xlsx</v>
      </c>
      <c r="F80" s="210" t="str">
        <f>IFERROR(VLOOKUP($B80,'Institution Evaluation'!$A$55:$F$346,6,0),IFERROR(VLOOKUP($B80,'Privacy Analyst Evaluation'!$A$46:$F$120,6,0),""))&amp;""</f>
        <v/>
      </c>
      <c r="G80" s="211"/>
      <c r="H80" s="210" t="str">
        <f>IFERROR(IF($H79+1&gt;'(backend scoring)'!$Q$335,"",$H79+1),"")</f>
        <v/>
      </c>
      <c r="I80" s="210" t="str">
        <f>_xlfn.XLOOKUP($H80,'(backend scoring)'!$S$2:$S$333,'(backend scoring)'!$A$2:$A$333,"")</f>
        <v/>
      </c>
      <c r="J80" s="210" t="str">
        <f>IFERROR(VLOOKUP($I80,'Institution Evaluation'!$A$55:$F$346,2,0),IFERROR(VLOOKUP($I80,'Privacy Analyst Evaluation'!$A$46:$F$120,2,0),""))</f>
        <v/>
      </c>
      <c r="K80" s="210" t="str">
        <f>IFERROR(VLOOKUP($I80,'Institution Evaluation'!$A$55:$F$346,3,0),IFERROR(VLOOKUP($I80,'Privacy Analyst Evaluation'!$A$46:$F$120,3,0),""))&amp;""</f>
        <v/>
      </c>
      <c r="L80" s="210" t="str">
        <f>IFERROR(VLOOKUP($I80,'Institution Evaluation'!$A$55:$F$346,4,0),IFERROR(VLOOKUP($I80,'Privacy Analyst Evaluation'!$A$46:$F$120,4,0),""))&amp;""</f>
        <v/>
      </c>
      <c r="M80" s="210"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x14ac:dyDescent="0.2">
      <c r="A81" s="210">
        <f>IFERROR(IF($A80+1&gt;'(backend scoring)'!$T$335,"",$A80+1),"")</f>
        <v>57</v>
      </c>
      <c r="B81" s="210" t="str">
        <f>_xlfn.XLOOKUP($A81,'(backend scoring)'!$V$2:$V$333,'(backend scoring)'!$A$2:$A$333,"")</f>
        <v>HIPA-01</v>
      </c>
      <c r="C81" s="210" t="str">
        <f>IFERROR(VLOOKUP($B81,'Institution Evaluation'!$A$55:$F$346,2,0),IFERROR(VLOOKUP($B81,'Privacy Analyst Evaluation'!$A$46:$F$120,2,0),""))&amp;""</f>
        <v>Do your workforce members receive regular training related to the Health Insurance Portability and Accountability Act (HIPAA) Privacy and Security Rules and the HITECH Act?*</v>
      </c>
      <c r="D81" s="210" t="str">
        <f>IFERROR(VLOOKUP($B81,'Institution Evaluation'!$A$55:$F$346,3,0),IFERROR(VLOOKUP($B81,'Privacy Analyst Evaluation'!$A$46:$F$120,3,0),""))&amp;""</f>
        <v/>
      </c>
      <c r="E81" s="210" t="str">
        <f>IFERROR(VLOOKUP($B81,'Institution Evaluation'!$A$55:$F$346,4,0),IFERROR(VLOOKUP($B81,'Privacy Analyst Evaluation'!$A$46:$F$120,4,0),""))&amp;""</f>
        <v>This question does not apply.</v>
      </c>
      <c r="F81" s="210" t="str">
        <f>IFERROR(VLOOKUP($B81,'Institution Evaluation'!$A$55:$F$346,6,0),IFERROR(VLOOKUP($B81,'Privacy Analyst Evaluation'!$A$46:$F$120,6,0),""))&amp;""</f>
        <v/>
      </c>
      <c r="G81" s="211"/>
      <c r="H81" s="210" t="str">
        <f>IFERROR(IF($H80+1&gt;'(backend scoring)'!$Q$335,"",$H80+1),"")</f>
        <v/>
      </c>
      <c r="I81" s="210" t="str">
        <f>_xlfn.XLOOKUP($H81,'(backend scoring)'!$S$2:$S$333,'(backend scoring)'!$A$2:$A$333,"")</f>
        <v/>
      </c>
      <c r="J81" s="210" t="str">
        <f>IFERROR(VLOOKUP($I81,'Institution Evaluation'!$A$55:$F$346,2,0),IFERROR(VLOOKUP($I81,'Privacy Analyst Evaluation'!$A$46:$F$120,2,0),""))</f>
        <v/>
      </c>
      <c r="K81" s="210" t="str">
        <f>IFERROR(VLOOKUP($I81,'Institution Evaluation'!$A$55:$F$346,3,0),IFERROR(VLOOKUP($I81,'Privacy Analyst Evaluation'!$A$46:$F$120,3,0),""))&amp;""</f>
        <v/>
      </c>
      <c r="L81" s="210" t="str">
        <f>IFERROR(VLOOKUP($I81,'Institution Evaluation'!$A$55:$F$346,4,0),IFERROR(VLOOKUP($I81,'Privacy Analyst Evaluation'!$A$46:$F$120,4,0),""))&amp;""</f>
        <v/>
      </c>
      <c r="M81" s="210"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x14ac:dyDescent="0.2">
      <c r="A82" s="210">
        <f>IFERROR(IF($A81+1&gt;'(backend scoring)'!$T$335,"",$A81+1),"")</f>
        <v>58</v>
      </c>
      <c r="B82" s="210" t="str">
        <f>_xlfn.XLOOKUP($A82,'(backend scoring)'!$V$2:$V$333,'(backend scoring)'!$A$2:$A$333,"")</f>
        <v>HIPA-02</v>
      </c>
      <c r="C82" s="210" t="str">
        <f>IFERROR(VLOOKUP($B82,'Institution Evaluation'!$A$55:$F$346,2,0),IFERROR(VLOOKUP($B82,'Privacy Analyst Evaluation'!$A$46:$F$120,2,0),""))&amp;""</f>
        <v>Have you identified areas of risk?*</v>
      </c>
      <c r="D82" s="210" t="str">
        <f>IFERROR(VLOOKUP($B82,'Institution Evaluation'!$A$55:$F$346,3,0),IFERROR(VLOOKUP($B82,'Privacy Analyst Evaluation'!$A$46:$F$120,3,0),""))&amp;""</f>
        <v/>
      </c>
      <c r="E82" s="210" t="str">
        <f>IFERROR(VLOOKUP($B82,'Institution Evaluation'!$A$55:$F$346,4,0),IFERROR(VLOOKUP($B82,'Privacy Analyst Evaluation'!$A$46:$F$120,4,0),""))&amp;""</f>
        <v>This question does not apply.</v>
      </c>
      <c r="F82" s="210" t="str">
        <f>IFERROR(VLOOKUP($B82,'Institution Evaluation'!$A$55:$F$346,6,0),IFERROR(VLOOKUP($B82,'Privacy Analyst Evaluation'!$A$46:$F$120,6,0),""))&amp;""</f>
        <v/>
      </c>
      <c r="G82" s="211"/>
      <c r="H82" s="210" t="str">
        <f>IFERROR(IF($H81+1&gt;'(backend scoring)'!$Q$335,"",$H81+1),"")</f>
        <v/>
      </c>
      <c r="I82" s="210" t="str">
        <f>_xlfn.XLOOKUP($H82,'(backend scoring)'!$S$2:$S$333,'(backend scoring)'!$A$2:$A$333,"")</f>
        <v/>
      </c>
      <c r="J82" s="210" t="str">
        <f>IFERROR(VLOOKUP($I82,'Institution Evaluation'!$A$55:$F$346,2,0),IFERROR(VLOOKUP($I82,'Privacy Analyst Evaluation'!$A$46:$F$120,2,0),""))</f>
        <v/>
      </c>
      <c r="K82" s="210" t="str">
        <f>IFERROR(VLOOKUP($I82,'Institution Evaluation'!$A$55:$F$346,3,0),IFERROR(VLOOKUP($I82,'Privacy Analyst Evaluation'!$A$46:$F$120,3,0),""))&amp;""</f>
        <v/>
      </c>
      <c r="L82" s="210" t="str">
        <f>IFERROR(VLOOKUP($I82,'Institution Evaluation'!$A$55:$F$346,4,0),IFERROR(VLOOKUP($I82,'Privacy Analyst Evaluation'!$A$46:$F$120,4,0),""))&amp;""</f>
        <v/>
      </c>
      <c r="M82" s="210"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x14ac:dyDescent="0.2">
      <c r="A83" s="210">
        <f>IFERROR(IF($A82+1&gt;'(backend scoring)'!$T$335,"",$A82+1),"")</f>
        <v>59</v>
      </c>
      <c r="B83" s="210" t="str">
        <f>_xlfn.XLOOKUP($A83,'(backend scoring)'!$V$2:$V$333,'(backend scoring)'!$A$2:$A$333,"")</f>
        <v>HIPA-03</v>
      </c>
      <c r="C83" s="210" t="str">
        <f>IFERROR(VLOOKUP($B83,'Institution Evaluation'!$A$55:$F$346,2,0),IFERROR(VLOOKUP($B83,'Privacy Analyst Evaluation'!$A$46:$F$120,2,0),""))&amp;""</f>
        <v>Have the relevant policies/plans been tested?*</v>
      </c>
      <c r="D83" s="210" t="str">
        <f>IFERROR(VLOOKUP($B83,'Institution Evaluation'!$A$55:$F$346,3,0),IFERROR(VLOOKUP($B83,'Privacy Analyst Evaluation'!$A$46:$F$120,3,0),""))&amp;""</f>
        <v/>
      </c>
      <c r="E83" s="210" t="str">
        <f>IFERROR(VLOOKUP($B83,'Institution Evaluation'!$A$55:$F$346,4,0),IFERROR(VLOOKUP($B83,'Privacy Analyst Evaluation'!$A$46:$F$120,4,0),""))&amp;""</f>
        <v>This question does not apply.</v>
      </c>
      <c r="F83" s="210" t="str">
        <f>IFERROR(VLOOKUP($B83,'Institution Evaluation'!$A$55:$F$346,6,0),IFERROR(VLOOKUP($B83,'Privacy Analyst Evaluation'!$A$46:$F$120,6,0),""))&amp;""</f>
        <v/>
      </c>
      <c r="G83" s="211"/>
      <c r="H83" s="210" t="str">
        <f>IFERROR(IF($H82+1&gt;'(backend scoring)'!$Q$335,"",$H82+1),"")</f>
        <v/>
      </c>
      <c r="I83" s="210" t="str">
        <f>_xlfn.XLOOKUP($H83,'(backend scoring)'!$S$2:$S$333,'(backend scoring)'!$A$2:$A$333,"")</f>
        <v/>
      </c>
      <c r="J83" s="210" t="str">
        <f>IFERROR(VLOOKUP($I83,'Institution Evaluation'!$A$55:$F$346,2,0),IFERROR(VLOOKUP($I83,'Privacy Analyst Evaluation'!$A$46:$F$120,2,0),""))</f>
        <v/>
      </c>
      <c r="K83" s="210" t="str">
        <f>IFERROR(VLOOKUP($I83,'Institution Evaluation'!$A$55:$F$346,3,0),IFERROR(VLOOKUP($I83,'Privacy Analyst Evaluation'!$A$46:$F$120,3,0),""))&amp;""</f>
        <v/>
      </c>
      <c r="L83" s="210" t="str">
        <f>IFERROR(VLOOKUP($I83,'Institution Evaluation'!$A$55:$F$346,4,0),IFERROR(VLOOKUP($I83,'Privacy Analyst Evaluation'!$A$46:$F$120,4,0),""))&amp;""</f>
        <v/>
      </c>
      <c r="M83" s="210"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75" x14ac:dyDescent="0.2">
      <c r="A84" s="210">
        <f>IFERROR(IF($A83+1&gt;'(backend scoring)'!$T$335,"",$A83+1),"")</f>
        <v>60</v>
      </c>
      <c r="B84" s="210" t="str">
        <f>_xlfn.XLOOKUP($A84,'(backend scoring)'!$V$2:$V$333,'(backend scoring)'!$A$2:$A$333,"")</f>
        <v>HIPA-04</v>
      </c>
      <c r="C84" s="210" t="str">
        <f>IFERROR(VLOOKUP($B84,'Institution Evaluation'!$A$55:$F$346,2,0),IFERROR(VLOOKUP($B84,'Privacy Analyst Evaluation'!$A$46:$F$120,2,0),""))&amp;""</f>
        <v>Have you entered into a Business Associate Agreements with all subcontractors who may have access to protected health information (PHI)?*</v>
      </c>
      <c r="D84" s="210" t="str">
        <f>IFERROR(VLOOKUP($B84,'Institution Evaluation'!$A$55:$F$346,3,0),IFERROR(VLOOKUP($B84,'Privacy Analyst Evaluation'!$A$46:$F$120,3,0),""))&amp;""</f>
        <v/>
      </c>
      <c r="E84" s="210" t="str">
        <f>IFERROR(VLOOKUP($B84,'Institution Evaluation'!$A$55:$F$346,4,0),IFERROR(VLOOKUP($B84,'Privacy Analyst Evaluation'!$A$46:$F$120,4,0),""))&amp;""</f>
        <v>This question does not apply.</v>
      </c>
      <c r="F84" s="210" t="str">
        <f>IFERROR(VLOOKUP($B84,'Institution Evaluation'!$A$55:$F$346,6,0),IFERROR(VLOOKUP($B84,'Privacy Analyst Evaluation'!$A$46:$F$120,6,0),""))&amp;""</f>
        <v/>
      </c>
      <c r="G84" s="211"/>
      <c r="H84" s="210" t="str">
        <f>IFERROR(IF($H83+1&gt;'(backend scoring)'!$Q$335,"",$H83+1),"")</f>
        <v/>
      </c>
      <c r="I84" s="210" t="str">
        <f>_xlfn.XLOOKUP($H84,'(backend scoring)'!$S$2:$S$333,'(backend scoring)'!$A$2:$A$333,"")</f>
        <v/>
      </c>
      <c r="J84" s="210" t="str">
        <f>IFERROR(VLOOKUP($I84,'Institution Evaluation'!$A$55:$F$346,2,0),IFERROR(VLOOKUP($I84,'Privacy Analyst Evaluation'!$A$46:$F$120,2,0),""))</f>
        <v/>
      </c>
      <c r="K84" s="210" t="str">
        <f>IFERROR(VLOOKUP($I84,'Institution Evaluation'!$A$55:$F$346,3,0),IFERROR(VLOOKUP($I84,'Privacy Analyst Evaluation'!$A$46:$F$120,3,0),""))&amp;""</f>
        <v/>
      </c>
      <c r="L84" s="210" t="str">
        <f>IFERROR(VLOOKUP($I84,'Institution Evaluation'!$A$55:$F$346,4,0),IFERROR(VLOOKUP($I84,'Privacy Analyst Evaluation'!$A$46:$F$120,4,0),""))&amp;""</f>
        <v/>
      </c>
      <c r="M84" s="210"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x14ac:dyDescent="0.2">
      <c r="A85" s="210">
        <f>IFERROR(IF($A84+1&gt;'(backend scoring)'!$T$335,"",$A84+1),"")</f>
        <v>61</v>
      </c>
      <c r="B85" s="210" t="str">
        <f>_xlfn.XLOOKUP($A85,'(backend scoring)'!$V$2:$V$333,'(backend scoring)'!$A$2:$A$333,"")</f>
        <v>PCID-01</v>
      </c>
      <c r="C85" s="210" t="str">
        <f>IFERROR(VLOOKUP($B85,'Institution Evaluation'!$A$55:$F$346,2,0),IFERROR(VLOOKUP($B85,'Privacy Analyst Evaluation'!$A$46:$F$120,2,0),""))&amp;""</f>
        <v>Do you have a current, executed within the past year, Attestation of Compliance (AoC) or Report on Compliance (RoC)?*</v>
      </c>
      <c r="D85" s="210" t="str">
        <f>IFERROR(VLOOKUP($B85,'Institution Evaluation'!$A$55:$F$346,3,0),IFERROR(VLOOKUP($B85,'Privacy Analyst Evaluation'!$A$46:$F$120,3,0),""))&amp;""</f>
        <v/>
      </c>
      <c r="E85" s="210" t="str">
        <f>IFERROR(VLOOKUP($B85,'Institution Evaluation'!$A$55:$F$346,4,0),IFERROR(VLOOKUP($B85,'Privacy Analyst Evaluation'!$A$46:$F$120,4,0),""))&amp;""</f>
        <v>This question does not apply.</v>
      </c>
      <c r="F85" s="210" t="str">
        <f>IFERROR(VLOOKUP($B85,'Institution Evaluation'!$A$55:$F$346,6,0),IFERROR(VLOOKUP($B85,'Privacy Analyst Evaluation'!$A$46:$F$120,6,0),""))&amp;""</f>
        <v/>
      </c>
      <c r="G85" s="211"/>
      <c r="H85" s="210" t="str">
        <f>IFERROR(IF($H84+1&gt;'(backend scoring)'!$Q$335,"",$H84+1),"")</f>
        <v/>
      </c>
      <c r="I85" s="210" t="str">
        <f>_xlfn.XLOOKUP($H85,'(backend scoring)'!$S$2:$S$333,'(backend scoring)'!$A$2:$A$333,"")</f>
        <v/>
      </c>
      <c r="J85" s="210" t="str">
        <f>IFERROR(VLOOKUP($I85,'Institution Evaluation'!$A$55:$F$346,2,0),IFERROR(VLOOKUP($I85,'Privacy Analyst Evaluation'!$A$46:$F$120,2,0),""))</f>
        <v/>
      </c>
      <c r="K85" s="210" t="str">
        <f>IFERROR(VLOOKUP($I85,'Institution Evaluation'!$A$55:$F$346,3,0),IFERROR(VLOOKUP($I85,'Privacy Analyst Evaluation'!$A$46:$F$120,3,0),""))&amp;""</f>
        <v/>
      </c>
      <c r="L85" s="210" t="str">
        <f>IFERROR(VLOOKUP($I85,'Institution Evaluation'!$A$55:$F$346,4,0),IFERROR(VLOOKUP($I85,'Privacy Analyst Evaluation'!$A$46:$F$120,4,0),""))&amp;""</f>
        <v/>
      </c>
      <c r="M85" s="210"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0" x14ac:dyDescent="0.2">
      <c r="A86" s="210">
        <f>IFERROR(IF($A85+1&gt;'(backend scoring)'!$T$335,"",$A85+1),"")</f>
        <v>62</v>
      </c>
      <c r="B86" s="210" t="str">
        <f>_xlfn.XLOOKUP($A86,'(backend scoring)'!$V$2:$V$333,'(backend scoring)'!$A$2:$A$333,"")</f>
        <v>PCID-02</v>
      </c>
      <c r="C86" s="210" t="str">
        <f>IFERROR(VLOOKUP($B86,'Institution Evaluation'!$A$55:$F$346,2,0),IFERROR(VLOOKUP($B86,'Privacy Analyst Evaluation'!$A$46:$F$120,2,0),""))&amp;""</f>
        <v>Is the application listed as an approved Payment Application Data Security Standard (PA-DSS) application?*</v>
      </c>
      <c r="D86" s="210" t="str">
        <f>IFERROR(VLOOKUP($B86,'Institution Evaluation'!$A$55:$F$346,3,0),IFERROR(VLOOKUP($B86,'Privacy Analyst Evaluation'!$A$46:$F$120,3,0),""))&amp;""</f>
        <v/>
      </c>
      <c r="E86" s="210" t="str">
        <f>IFERROR(VLOOKUP($B86,'Institution Evaluation'!$A$55:$F$346,4,0),IFERROR(VLOOKUP($B86,'Privacy Analyst Evaluation'!$A$46:$F$120,4,0),""))&amp;""</f>
        <v>This question does not apply.</v>
      </c>
      <c r="F86" s="210" t="str">
        <f>IFERROR(VLOOKUP($B86,'Institution Evaluation'!$A$55:$F$346,6,0),IFERROR(VLOOKUP($B86,'Privacy Analyst Evaluation'!$A$46:$F$120,6,0),""))&amp;""</f>
        <v/>
      </c>
      <c r="G86" s="211"/>
      <c r="H86" s="210" t="str">
        <f>IFERROR(IF($H85+1&gt;'(backend scoring)'!$Q$335,"",$H85+1),"")</f>
        <v/>
      </c>
      <c r="I86" s="210" t="str">
        <f>_xlfn.XLOOKUP($H86,'(backend scoring)'!$S$2:$S$333,'(backend scoring)'!$A$2:$A$333,"")</f>
        <v/>
      </c>
      <c r="J86" s="210" t="str">
        <f>IFERROR(VLOOKUP($I86,'Institution Evaluation'!$A$55:$F$346,2,0),IFERROR(VLOOKUP($I86,'Privacy Analyst Evaluation'!$A$46:$F$120,2,0),""))</f>
        <v/>
      </c>
      <c r="K86" s="210" t="str">
        <f>IFERROR(VLOOKUP($I86,'Institution Evaluation'!$A$55:$F$346,3,0),IFERROR(VLOOKUP($I86,'Privacy Analyst Evaluation'!$A$46:$F$120,3,0),""))&amp;""</f>
        <v/>
      </c>
      <c r="L86" s="210" t="str">
        <f>IFERROR(VLOOKUP($I86,'Institution Evaluation'!$A$55:$F$346,4,0),IFERROR(VLOOKUP($I86,'Privacy Analyst Evaluation'!$A$46:$F$120,4,0),""))&amp;""</f>
        <v/>
      </c>
      <c r="M86" s="210"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90" x14ac:dyDescent="0.2">
      <c r="A87" s="210">
        <f>IFERROR(IF($A86+1&gt;'(backend scoring)'!$T$335,"",$A86+1),"")</f>
        <v>63</v>
      </c>
      <c r="B87" s="210" t="str">
        <f>_xlfn.XLOOKUP($A87,'(backend scoring)'!$V$2:$V$333,'(backend scoring)'!$A$2:$A$333,"")</f>
        <v>PCID-03</v>
      </c>
      <c r="C87" s="210" t="str">
        <f>IFERROR(VLOOKUP($B87,'Institution Evaluation'!$A$55:$F$346,2,0),IFERROR(VLOOKUP($B87,'Privacy Analyst Evaluation'!$A$46:$F$120,2,0),""))&amp;""</f>
        <v>Does the system or solutions use a third party to collect, store, process, or transmit cardholder (payment/credit/debt card) data?*</v>
      </c>
      <c r="D87" s="210" t="str">
        <f>IFERROR(VLOOKUP($B87,'Institution Evaluation'!$A$55:$F$346,3,0),IFERROR(VLOOKUP($B87,'Privacy Analyst Evaluation'!$A$46:$F$120,3,0),""))&amp;""</f>
        <v/>
      </c>
      <c r="E87" s="210" t="str">
        <f>IFERROR(VLOOKUP($B87,'Institution Evaluation'!$A$55:$F$346,4,0),IFERROR(VLOOKUP($B87,'Privacy Analyst Evaluation'!$A$46:$F$120,4,0),""))&amp;""</f>
        <v>This question does not apply.</v>
      </c>
      <c r="F87" s="210" t="str">
        <f>IFERROR(VLOOKUP($B87,'Institution Evaluation'!$A$55:$F$346,6,0),IFERROR(VLOOKUP($B87,'Privacy Analyst Evaluation'!$A$46:$F$120,6,0),""))&amp;""</f>
        <v/>
      </c>
      <c r="G87" s="211"/>
      <c r="H87" s="210" t="str">
        <f>IFERROR(IF($H86+1&gt;'(backend scoring)'!$Q$335,"",$H86+1),"")</f>
        <v/>
      </c>
      <c r="I87" s="210" t="str">
        <f>_xlfn.XLOOKUP($H87,'(backend scoring)'!$S$2:$S$333,'(backend scoring)'!$A$2:$A$333,"")</f>
        <v/>
      </c>
      <c r="J87" s="210" t="str">
        <f>IFERROR(VLOOKUP($I87,'Institution Evaluation'!$A$55:$F$346,2,0),IFERROR(VLOOKUP($I87,'Privacy Analyst Evaluation'!$A$46:$F$120,2,0),""))</f>
        <v/>
      </c>
      <c r="K87" s="210" t="str">
        <f>IFERROR(VLOOKUP($I87,'Institution Evaluation'!$A$55:$F$346,3,0),IFERROR(VLOOKUP($I87,'Privacy Analyst Evaluation'!$A$46:$F$120,3,0),""))&amp;""</f>
        <v/>
      </c>
      <c r="L87" s="210" t="str">
        <f>IFERROR(VLOOKUP($I87,'Institution Evaluation'!$A$55:$F$346,4,0),IFERROR(VLOOKUP($I87,'Privacy Analyst Evaluation'!$A$46:$F$120,4,0),""))&amp;""</f>
        <v/>
      </c>
      <c r="M87" s="210"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105" x14ac:dyDescent="0.2">
      <c r="A88" s="210">
        <f>IFERROR(IF($A87+1&gt;'(backend scoring)'!$T$335,"",$A87+1),"")</f>
        <v>64</v>
      </c>
      <c r="B88" s="210" t="str">
        <f>_xlfn.XLOOKUP($A88,'(backend scoring)'!$V$2:$V$333,'(backend scoring)'!$A$2:$A$333,"")</f>
        <v>PCOM-01</v>
      </c>
      <c r="C88" s="210" t="str">
        <f>IFERROR(VLOOKUP($B88,'Institution Evaluation'!$A$55:$F$346,2,0),IFERROR(VLOOKUP($B88,'Privacy Analyst Evaluation'!$A$46:$F$120,2,0),""))&amp;""</f>
        <v>Have you had a personal data breach in the past three years that involved reporting to a governmental agency, notice to individuals (including voluntary notice), or notice to another organization or institution?*</v>
      </c>
      <c r="D88" s="210" t="str">
        <f>IFERROR(VLOOKUP($B88,'Institution Evaluation'!$A$55:$F$346,3,0),IFERROR(VLOOKUP($B88,'Privacy Analyst Evaluation'!$A$46:$F$120,3,0),""))&amp;""</f>
        <v/>
      </c>
      <c r="E88" s="210" t="str">
        <f>IFERROR(VLOOKUP($B88,'Institution Evaluation'!$A$55:$F$346,4,0),IFERROR(VLOOKUP($B88,'Privacy Analyst Evaluation'!$A$46:$F$120,4,0),""))&amp;""</f>
        <v/>
      </c>
      <c r="F88" s="210" t="str">
        <f>IFERROR(VLOOKUP($B88,'Institution Evaluation'!$A$55:$F$346,6,0),IFERROR(VLOOKUP($B88,'Privacy Analyst Evaluation'!$A$46:$F$120,6,0),""))&amp;""</f>
        <v/>
      </c>
      <c r="G88" s="211"/>
      <c r="H88" s="210" t="str">
        <f>IFERROR(IF($H87+1&gt;'(backend scoring)'!$Q$335,"",$H87+1),"")</f>
        <v/>
      </c>
      <c r="I88" s="210" t="str">
        <f>_xlfn.XLOOKUP($H88,'(backend scoring)'!$S$2:$S$333,'(backend scoring)'!$A$2:$A$333,"")</f>
        <v/>
      </c>
      <c r="J88" s="210" t="str">
        <f>IFERROR(VLOOKUP($I88,'Institution Evaluation'!$A$55:$F$346,2,0),IFERROR(VLOOKUP($I88,'Privacy Analyst Evaluation'!$A$46:$F$120,2,0),""))</f>
        <v/>
      </c>
      <c r="K88" s="210" t="str">
        <f>IFERROR(VLOOKUP($I88,'Institution Evaluation'!$A$55:$F$346,3,0),IFERROR(VLOOKUP($I88,'Privacy Analyst Evaluation'!$A$46:$F$120,3,0),""))&amp;""</f>
        <v/>
      </c>
      <c r="L88" s="210" t="str">
        <f>IFERROR(VLOOKUP($I88,'Institution Evaluation'!$A$55:$F$346,4,0),IFERROR(VLOOKUP($I88,'Privacy Analyst Evaluation'!$A$46:$F$120,4,0),""))&amp;""</f>
        <v/>
      </c>
      <c r="M88" s="210"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75" x14ac:dyDescent="0.2">
      <c r="A89" s="210">
        <f>IFERROR(IF($A88+1&gt;'(backend scoring)'!$T$335,"",$A88+1),"")</f>
        <v>65</v>
      </c>
      <c r="B89" s="210" t="str">
        <f>_xlfn.XLOOKUP($A89,'(backend scoring)'!$V$2:$V$333,'(backend scoring)'!$A$2:$A$333,"")</f>
        <v>PTHP-01</v>
      </c>
      <c r="C89" s="210" t="str">
        <f>IFERROR(VLOOKUP($B89,'Institution Evaluation'!$A$55:$F$346,2,0),IFERROR(VLOOKUP($B89,'Privacy Analyst Evaluation'!$A$46:$F$120,2,0),""))&amp;""</f>
        <v>Do you have contractual agreements with third parties that require them to maintain standards and to comply with all regulatory requirements?*</v>
      </c>
      <c r="D89" s="210" t="str">
        <f>IFERROR(VLOOKUP($B89,'Institution Evaluation'!$A$55:$F$346,3,0),IFERROR(VLOOKUP($B89,'Privacy Analyst Evaluation'!$A$46:$F$120,3,0),""))&amp;""</f>
        <v/>
      </c>
      <c r="E89" s="210" t="str">
        <f>IFERROR(VLOOKUP($B89,'Institution Evaluation'!$A$55:$F$346,4,0),IFERROR(VLOOKUP($B89,'Privacy Analyst Evaluation'!$A$46:$F$120,4,0),""))&amp;""</f>
        <v/>
      </c>
      <c r="F89" s="210" t="str">
        <f>IFERROR(VLOOKUP($B89,'Institution Evaluation'!$A$55:$F$346,6,0),IFERROR(VLOOKUP($B89,'Privacy Analyst Evaluation'!$A$46:$F$120,6,0),""))&amp;""</f>
        <v/>
      </c>
      <c r="G89" s="211"/>
      <c r="H89" s="210" t="str">
        <f>IFERROR(IF($H88+1&gt;'(backend scoring)'!$Q$335,"",$H88+1),"")</f>
        <v/>
      </c>
      <c r="I89" s="210" t="str">
        <f>_xlfn.XLOOKUP($H89,'(backend scoring)'!$S$2:$S$333,'(backend scoring)'!$A$2:$A$333,"")</f>
        <v/>
      </c>
      <c r="J89" s="210" t="str">
        <f>IFERROR(VLOOKUP($I89,'Institution Evaluation'!$A$55:$F$346,2,0),IFERROR(VLOOKUP($I89,'Privacy Analyst Evaluation'!$A$46:$F$120,2,0),""))</f>
        <v/>
      </c>
      <c r="K89" s="210" t="str">
        <f>IFERROR(VLOOKUP($I89,'Institution Evaluation'!$A$55:$F$346,3,0),IFERROR(VLOOKUP($I89,'Privacy Analyst Evaluation'!$A$46:$F$120,3,0),""))&amp;""</f>
        <v/>
      </c>
      <c r="L89" s="210" t="str">
        <f>IFERROR(VLOOKUP($I89,'Institution Evaluation'!$A$55:$F$346,4,0),IFERROR(VLOOKUP($I89,'Privacy Analyst Evaluation'!$A$46:$F$120,4,0),""))&amp;""</f>
        <v/>
      </c>
      <c r="M89" s="210"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45" x14ac:dyDescent="0.2">
      <c r="A90" s="210">
        <f>IFERROR(IF($A89+1&gt;'(backend scoring)'!$T$335,"",$A89+1),"")</f>
        <v>66</v>
      </c>
      <c r="B90" s="210" t="str">
        <f>_xlfn.XLOOKUP($A90,'(backend scoring)'!$V$2:$V$333,'(backend scoring)'!$A$2:$A$333,"")</f>
        <v>PDAT-01</v>
      </c>
      <c r="C90" s="210" t="str">
        <f>IFERROR(VLOOKUP($B90,'Institution Evaluation'!$A$55:$F$346,2,0),IFERROR(VLOOKUP($B90,'Privacy Analyst Evaluation'!$A$46:$F$120,2,0),""))&amp;""</f>
        <v>Do you collect, process, or store demographic information?*</v>
      </c>
      <c r="D90" s="210" t="str">
        <f>IFERROR(VLOOKUP($B90,'Institution Evaluation'!$A$55:$F$346,3,0),IFERROR(VLOOKUP($B90,'Privacy Analyst Evaluation'!$A$46:$F$120,3,0),""))&amp;""</f>
        <v/>
      </c>
      <c r="E90" s="210" t="str">
        <f>IFERROR(VLOOKUP($B90,'Institution Evaluation'!$A$55:$F$346,4,0),IFERROR(VLOOKUP($B90,'Privacy Analyst Evaluation'!$A$46:$F$120,4,0),""))&amp;""</f>
        <v/>
      </c>
      <c r="F90" s="210" t="str">
        <f>IFERROR(VLOOKUP($B90,'Institution Evaluation'!$A$55:$F$346,6,0),IFERROR(VLOOKUP($B90,'Privacy Analyst Evaluation'!$A$46:$F$120,6,0),""))&amp;""</f>
        <v/>
      </c>
      <c r="G90" s="211"/>
      <c r="H90" s="210" t="str">
        <f>IFERROR(IF($H89+1&gt;'(backend scoring)'!$Q$335,"",$H89+1),"")</f>
        <v/>
      </c>
      <c r="I90" s="210" t="str">
        <f>_xlfn.XLOOKUP($H90,'(backend scoring)'!$S$2:$S$333,'(backend scoring)'!$A$2:$A$333,"")</f>
        <v/>
      </c>
      <c r="J90" s="210" t="str">
        <f>IFERROR(VLOOKUP($I90,'Institution Evaluation'!$A$55:$F$346,2,0),IFERROR(VLOOKUP($I90,'Privacy Analyst Evaluation'!$A$46:$F$120,2,0),""))</f>
        <v/>
      </c>
      <c r="K90" s="210" t="str">
        <f>IFERROR(VLOOKUP($I90,'Institution Evaluation'!$A$55:$F$346,3,0),IFERROR(VLOOKUP($I90,'Privacy Analyst Evaluation'!$A$46:$F$120,3,0),""))&amp;""</f>
        <v/>
      </c>
      <c r="L90" s="210" t="str">
        <f>IFERROR(VLOOKUP($I90,'Institution Evaluation'!$A$55:$F$346,4,0),IFERROR(VLOOKUP($I90,'Privacy Analyst Evaluation'!$A$46:$F$120,4,0),""))&amp;""</f>
        <v/>
      </c>
      <c r="M90" s="210"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2">
      <c r="A91" s="210">
        <f>IFERROR(IF($A90+1&gt;'(backend scoring)'!$T$335,"",$A90+1),"")</f>
        <v>67</v>
      </c>
      <c r="B91" s="210" t="str">
        <f>_xlfn.XLOOKUP($A91,'(backend scoring)'!$V$2:$V$333,'(backend scoring)'!$A$2:$A$333,"")</f>
        <v>PDAT-02</v>
      </c>
      <c r="C91" s="210" t="str">
        <f>IFERROR(VLOOKUP($B91,'Institution Evaluation'!$A$55:$F$346,2,0),IFERROR(VLOOKUP($B91,'Privacy Analyst Evaluation'!$A$46:$F$120,2,0),""))&amp;""</f>
        <v>Do you capture or create genetic, biometric, or behaviometric information (e.g., facial recognition or fingerprints)?*</v>
      </c>
      <c r="D91" s="210" t="str">
        <f>IFERROR(VLOOKUP($B91,'Institution Evaluation'!$A$55:$F$346,3,0),IFERROR(VLOOKUP($B91,'Privacy Analyst Evaluation'!$A$46:$F$120,3,0),""))&amp;""</f>
        <v/>
      </c>
      <c r="E91" s="210" t="str">
        <f>IFERROR(VLOOKUP($B91,'Institution Evaluation'!$A$55:$F$346,4,0),IFERROR(VLOOKUP($B91,'Privacy Analyst Evaluation'!$A$46:$F$120,4,0),""))&amp;""</f>
        <v/>
      </c>
      <c r="F91" s="210" t="str">
        <f>IFERROR(VLOOKUP($B91,'Institution Evaluation'!$A$55:$F$346,6,0),IFERROR(VLOOKUP($B91,'Privacy Analyst Evaluation'!$A$46:$F$120,6,0),""))&amp;""</f>
        <v/>
      </c>
      <c r="G91" s="211"/>
      <c r="H91" s="210" t="str">
        <f>IFERROR(IF($H90+1&gt;'(backend scoring)'!$Q$335,"",$H90+1),"")</f>
        <v/>
      </c>
      <c r="I91" s="210" t="str">
        <f>_xlfn.XLOOKUP($H91,'(backend scoring)'!$S$2:$S$333,'(backend scoring)'!$A$2:$A$333,"")</f>
        <v/>
      </c>
      <c r="J91" s="210" t="str">
        <f>IFERROR(VLOOKUP($I91,'Institution Evaluation'!$A$55:$F$346,2,0),IFERROR(VLOOKUP($I91,'Privacy Analyst Evaluation'!$A$46:$F$120,2,0),""))</f>
        <v/>
      </c>
      <c r="K91" s="210" t="str">
        <f>IFERROR(VLOOKUP($I91,'Institution Evaluation'!$A$55:$F$346,3,0),IFERROR(VLOOKUP($I91,'Privacy Analyst Evaluation'!$A$46:$F$120,3,0),""))&amp;""</f>
        <v/>
      </c>
      <c r="L91" s="210" t="str">
        <f>IFERROR(VLOOKUP($I91,'Institution Evaluation'!$A$55:$F$346,4,0),IFERROR(VLOOKUP($I91,'Privacy Analyst Evaluation'!$A$46:$F$120,4,0),""))&amp;""</f>
        <v/>
      </c>
      <c r="M91" s="210"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75" x14ac:dyDescent="0.2">
      <c r="A92" s="210">
        <f>IFERROR(IF($A91+1&gt;'(backend scoring)'!$T$335,"",$A91+1),"")</f>
        <v>68</v>
      </c>
      <c r="B92" s="210" t="str">
        <f>_xlfn.XLOOKUP($A92,'(backend scoring)'!$V$2:$V$333,'(backend scoring)'!$A$2:$A$333,"")</f>
        <v>PDAT-03</v>
      </c>
      <c r="C92" s="210" t="str">
        <f>IFERROR(VLOOKUP($B92,'Institution Evaluation'!$A$55:$F$346,2,0),IFERROR(VLOOKUP($B92,'Privacy Analyst Evaluation'!$A$46:$F$120,2,0),""))&amp;""</f>
        <v>Do you combine institutional data (including "de-identified," "anonymized," or otherwise masked data) with personal data from any other sources?*</v>
      </c>
      <c r="D92" s="210" t="str">
        <f>IFERROR(VLOOKUP($B92,'Institution Evaluation'!$A$55:$F$346,3,0),IFERROR(VLOOKUP($B92,'Privacy Analyst Evaluation'!$A$46:$F$120,3,0),""))&amp;""</f>
        <v/>
      </c>
      <c r="E92" s="210" t="str">
        <f>IFERROR(VLOOKUP($B92,'Institution Evaluation'!$A$55:$F$346,4,0),IFERROR(VLOOKUP($B92,'Privacy Analyst Evaluation'!$A$46:$F$120,4,0),""))&amp;""</f>
        <v/>
      </c>
      <c r="F92" s="210" t="str">
        <f>IFERROR(VLOOKUP($B92,'Institution Evaluation'!$A$55:$F$346,6,0),IFERROR(VLOOKUP($B92,'Privacy Analyst Evaluation'!$A$46:$F$120,6,0),""))&amp;""</f>
        <v/>
      </c>
      <c r="G92" s="211"/>
      <c r="H92" s="210" t="str">
        <f>IFERROR(IF($H91+1&gt;'(backend scoring)'!$Q$335,"",$H91+1),"")</f>
        <v/>
      </c>
      <c r="I92" s="210" t="str">
        <f>_xlfn.XLOOKUP($H92,'(backend scoring)'!$S$2:$S$333,'(backend scoring)'!$A$2:$A$333,"")</f>
        <v/>
      </c>
      <c r="J92" s="210" t="str">
        <f>IFERROR(VLOOKUP($I92,'Institution Evaluation'!$A$55:$F$346,2,0),IFERROR(VLOOKUP($I92,'Privacy Analyst Evaluation'!$A$46:$F$120,2,0),""))</f>
        <v/>
      </c>
      <c r="K92" s="210" t="str">
        <f>IFERROR(VLOOKUP($I92,'Institution Evaluation'!$A$55:$F$346,3,0),IFERROR(VLOOKUP($I92,'Privacy Analyst Evaluation'!$A$46:$F$120,3,0),""))&amp;""</f>
        <v/>
      </c>
      <c r="L92" s="210" t="str">
        <f>IFERROR(VLOOKUP($I92,'Institution Evaluation'!$A$55:$F$346,4,0),IFERROR(VLOOKUP($I92,'Privacy Analyst Evaluation'!$A$46:$F$120,4,0),""))&amp;""</f>
        <v/>
      </c>
      <c r="M92" s="210"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30" x14ac:dyDescent="0.2">
      <c r="A93" s="210">
        <f>IFERROR(IF($A92+1&gt;'(backend scoring)'!$T$335,"",$A92+1),"")</f>
        <v>69</v>
      </c>
      <c r="B93" s="210" t="str">
        <f>_xlfn.XLOOKUP($A93,'(backend scoring)'!$V$2:$V$333,'(backend scoring)'!$A$2:$A$333,"")</f>
        <v>PRPO-06</v>
      </c>
      <c r="C93" s="210" t="str">
        <f>IFERROR(VLOOKUP($B93,'Institution Evaluation'!$A$55:$F$346,2,0),IFERROR(VLOOKUP($B93,'Privacy Analyst Evaluation'!$A$46:$F$120,2,0),""))&amp;""</f>
        <v>Do you have a privacy awareness/training program?*</v>
      </c>
      <c r="D93" s="210" t="str">
        <f>IFERROR(VLOOKUP($B93,'Institution Evaluation'!$A$55:$F$346,3,0),IFERROR(VLOOKUP($B93,'Privacy Analyst Evaluation'!$A$46:$F$120,3,0),""))&amp;""</f>
        <v/>
      </c>
      <c r="E93" s="210" t="str">
        <f>IFERROR(VLOOKUP($B93,'Institution Evaluation'!$A$55:$F$346,4,0),IFERROR(VLOOKUP($B93,'Privacy Analyst Evaluation'!$A$46:$F$120,4,0),""))&amp;""</f>
        <v/>
      </c>
      <c r="F93" s="210" t="str">
        <f>IFERROR(VLOOKUP($B93,'Institution Evaluation'!$A$55:$F$346,6,0),IFERROR(VLOOKUP($B93,'Privacy Analyst Evaluation'!$A$46:$F$120,6,0),""))&amp;""</f>
        <v/>
      </c>
      <c r="G93" s="211"/>
      <c r="H93" s="210" t="str">
        <f>IFERROR(IF($H92+1&gt;'(backend scoring)'!$Q$335,"",$H92+1),"")</f>
        <v/>
      </c>
      <c r="I93" s="210" t="str">
        <f>_xlfn.XLOOKUP($H93,'(backend scoring)'!$S$2:$S$333,'(backend scoring)'!$A$2:$A$333,"")</f>
        <v/>
      </c>
      <c r="J93" s="210" t="str">
        <f>IFERROR(VLOOKUP($I93,'Institution Evaluation'!$A$55:$F$346,2,0),IFERROR(VLOOKUP($I93,'Privacy Analyst Evaluation'!$A$46:$F$120,2,0),""))</f>
        <v/>
      </c>
      <c r="K93" s="210" t="str">
        <f>IFERROR(VLOOKUP($I93,'Institution Evaluation'!$A$55:$F$346,3,0),IFERROR(VLOOKUP($I93,'Privacy Analyst Evaluation'!$A$46:$F$120,3,0),""))&amp;""</f>
        <v/>
      </c>
      <c r="L93" s="210" t="str">
        <f>IFERROR(VLOOKUP($I93,'Institution Evaluation'!$A$55:$F$346,4,0),IFERROR(VLOOKUP($I93,'Privacy Analyst Evaluation'!$A$46:$F$120,4,0),""))&amp;""</f>
        <v/>
      </c>
      <c r="M93" s="210"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60" x14ac:dyDescent="0.2">
      <c r="A94" s="210">
        <f>IFERROR(IF($A93+1&gt;'(backend scoring)'!$T$335,"",$A93+1),"")</f>
        <v>70</v>
      </c>
      <c r="B94" s="210" t="str">
        <f>_xlfn.XLOOKUP($A94,'(backend scoring)'!$V$2:$V$333,'(backend scoring)'!$A$2:$A$333,"")</f>
        <v>PRPO-12</v>
      </c>
      <c r="C94" s="210" t="str">
        <f>IFERROR(VLOOKUP($B94,'Institution Evaluation'!$A$55:$F$346,2,0),IFERROR(VLOOKUP($B94,'Privacy Analyst Evaluation'!$A$46:$F$120,2,0),""))&amp;""</f>
        <v>Do you share any institutional data with law enforcement without a valid warrant or subpoena?*</v>
      </c>
      <c r="D94" s="210" t="str">
        <f>IFERROR(VLOOKUP($B94,'Institution Evaluation'!$A$55:$F$346,3,0),IFERROR(VLOOKUP($B94,'Privacy Analyst Evaluation'!$A$46:$F$120,3,0),""))&amp;""</f>
        <v/>
      </c>
      <c r="E94" s="210" t="str">
        <f>IFERROR(VLOOKUP($B94,'Institution Evaluation'!$A$55:$F$346,4,0),IFERROR(VLOOKUP($B94,'Privacy Analyst Evaluation'!$A$46:$F$120,4,0),""))&amp;""</f>
        <v/>
      </c>
      <c r="F94" s="210" t="str">
        <f>IFERROR(VLOOKUP($B94,'Institution Evaluation'!$A$55:$F$346,6,0),IFERROR(VLOOKUP($B94,'Privacy Analyst Evaluation'!$A$46:$F$120,6,0),""))&amp;""</f>
        <v/>
      </c>
      <c r="G94" s="211"/>
      <c r="H94" s="210" t="str">
        <f>IFERROR(IF($H93+1&gt;'(backend scoring)'!$Q$335,"",$H93+1),"")</f>
        <v/>
      </c>
      <c r="I94" s="210" t="str">
        <f>_xlfn.XLOOKUP($H94,'(backend scoring)'!$S$2:$S$333,'(backend scoring)'!$A$2:$A$333,"")</f>
        <v/>
      </c>
      <c r="J94" s="210" t="str">
        <f>IFERROR(VLOOKUP($I94,'Institution Evaluation'!$A$55:$F$346,2,0),IFERROR(VLOOKUP($I94,'Privacy Analyst Evaluation'!$A$46:$F$120,2,0),""))</f>
        <v/>
      </c>
      <c r="K94" s="210" t="str">
        <f>IFERROR(VLOOKUP($I94,'Institution Evaluation'!$A$55:$F$346,3,0),IFERROR(VLOOKUP($I94,'Privacy Analyst Evaluation'!$A$46:$F$120,3,0),""))&amp;""</f>
        <v/>
      </c>
      <c r="L94" s="210" t="str">
        <f>IFERROR(VLOOKUP($I94,'Institution Evaluation'!$A$55:$F$346,4,0),IFERROR(VLOOKUP($I94,'Privacy Analyst Evaluation'!$A$46:$F$120,4,0),""))&amp;""</f>
        <v/>
      </c>
      <c r="M94" s="210"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x14ac:dyDescent="0.2">
      <c r="A95" s="210">
        <f>IFERROR(IF($A94+1&gt;'(backend scoring)'!$T$335,"",$A94+1),"")</f>
        <v>71</v>
      </c>
      <c r="B95" s="210" t="str">
        <f>_xlfn.XLOOKUP($A95,'(backend scoring)'!$V$2:$V$333,'(backend scoring)'!$A$2:$A$333,"")</f>
        <v>DPAI-02</v>
      </c>
      <c r="C95" s="210" t="str">
        <f>IFERROR(VLOOKUP($B95,'Institution Evaluation'!$A$55:$F$346,2,0),IFERROR(VLOOKUP($B95,'Privacy Analyst Evaluation'!$A$46:$F$120,2,0),""))&amp;""</f>
        <v>Is any institutional data retained in AI processing?*</v>
      </c>
      <c r="D95" s="210" t="str">
        <f>IFERROR(VLOOKUP($B95,'Institution Evaluation'!$A$55:$F$346,3,0),IFERROR(VLOOKUP($B95,'Privacy Analyst Evaluation'!$A$46:$F$120,3,0),""))&amp;""</f>
        <v/>
      </c>
      <c r="E95" s="210" t="str">
        <f>IFERROR(VLOOKUP($B95,'Institution Evaluation'!$A$55:$F$346,4,0),IFERROR(VLOOKUP($B95,'Privacy Analyst Evaluation'!$A$46:$F$120,4,0),""))&amp;""</f>
        <v>This question does not apply.</v>
      </c>
      <c r="F95" s="210" t="str">
        <f>IFERROR(VLOOKUP($B95,'Institution Evaluation'!$A$55:$F$346,6,0),IFERROR(VLOOKUP($B95,'Privacy Analyst Evaluation'!$A$46:$F$120,6,0),""))&amp;""</f>
        <v/>
      </c>
      <c r="G95" s="211"/>
      <c r="H95" s="210" t="str">
        <f>IFERROR(IF($H94+1&gt;'(backend scoring)'!$Q$335,"",$H94+1),"")</f>
        <v/>
      </c>
      <c r="I95" s="210" t="str">
        <f>_xlfn.XLOOKUP($H95,'(backend scoring)'!$S$2:$S$333,'(backend scoring)'!$A$2:$A$333,"")</f>
        <v/>
      </c>
      <c r="J95" s="210" t="str">
        <f>IFERROR(VLOOKUP($I95,'Institution Evaluation'!$A$55:$F$346,2,0),IFERROR(VLOOKUP($I95,'Privacy Analyst Evaluation'!$A$46:$F$120,2,0),""))</f>
        <v/>
      </c>
      <c r="K95" s="210" t="str">
        <f>IFERROR(VLOOKUP($I95,'Institution Evaluation'!$A$55:$F$346,3,0),IFERROR(VLOOKUP($I95,'Privacy Analyst Evaluation'!$A$46:$F$120,3,0),""))&amp;""</f>
        <v/>
      </c>
      <c r="L95" s="210" t="str">
        <f>IFERROR(VLOOKUP($I95,'Institution Evaluation'!$A$55:$F$346,4,0),IFERROR(VLOOKUP($I95,'Privacy Analyst Evaluation'!$A$46:$F$120,4,0),""))&amp;""</f>
        <v/>
      </c>
      <c r="M95" s="210"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75" x14ac:dyDescent="0.2">
      <c r="A96" s="210">
        <f>IFERROR(IF($A95+1&gt;'(backend scoring)'!$T$335,"",$A95+1),"")</f>
        <v>72</v>
      </c>
      <c r="B96" s="210" t="str">
        <f>_xlfn.XLOOKUP($A96,'(backend scoring)'!$V$2:$V$333,'(backend scoring)'!$A$2:$A$333,"")</f>
        <v>DPAI-03</v>
      </c>
      <c r="C96" s="210" t="str">
        <f>IFERROR(VLOOKUP($B96,'Institution Evaluation'!$A$55:$F$346,2,0),IFERROR(VLOOKUP($B96,'Privacy Analyst Evaluation'!$A$46:$F$120,2,0),""))&amp;""</f>
        <v>Do you have agreements in place with third parties or subprocessors regarding the protection of customer data and use of AI?*</v>
      </c>
      <c r="D96" s="210" t="str">
        <f>IFERROR(VLOOKUP($B96,'Institution Evaluation'!$A$55:$F$346,3,0),IFERROR(VLOOKUP($B96,'Privacy Analyst Evaluation'!$A$46:$F$120,3,0),""))&amp;""</f>
        <v/>
      </c>
      <c r="E96" s="210" t="str">
        <f>IFERROR(VLOOKUP($B96,'Institution Evaluation'!$A$55:$F$346,4,0),IFERROR(VLOOKUP($B96,'Privacy Analyst Evaluation'!$A$46:$F$120,4,0),""))&amp;""</f>
        <v>This question does not apply.</v>
      </c>
      <c r="F96" s="210" t="str">
        <f>IFERROR(VLOOKUP($B96,'Institution Evaluation'!$A$55:$F$346,6,0),IFERROR(VLOOKUP($B96,'Privacy Analyst Evaluation'!$A$46:$F$120,6,0),""))&amp;""</f>
        <v/>
      </c>
      <c r="G96" s="211"/>
      <c r="H96" s="210" t="str">
        <f>IFERROR(IF($H95+1&gt;'(backend scoring)'!$Q$335,"",$H95+1),"")</f>
        <v/>
      </c>
      <c r="I96" s="210" t="str">
        <f>_xlfn.XLOOKUP($H96,'(backend scoring)'!$S$2:$S$333,'(backend scoring)'!$A$2:$A$333,"")</f>
        <v/>
      </c>
      <c r="J96" s="210" t="str">
        <f>IFERROR(VLOOKUP($I96,'Institution Evaluation'!$A$55:$F$346,2,0),IFERROR(VLOOKUP($I96,'Privacy Analyst Evaluation'!$A$46:$F$120,2,0),""))</f>
        <v/>
      </c>
      <c r="K96" s="210" t="str">
        <f>IFERROR(VLOOKUP($I96,'Institution Evaluation'!$A$55:$F$346,3,0),IFERROR(VLOOKUP($I96,'Privacy Analyst Evaluation'!$A$46:$F$120,3,0),""))&amp;""</f>
        <v/>
      </c>
      <c r="L96" s="210" t="str">
        <f>IFERROR(VLOOKUP($I96,'Institution Evaluation'!$A$55:$F$346,4,0),IFERROR(VLOOKUP($I96,'Privacy Analyst Evaluation'!$A$46:$F$120,4,0),""))&amp;""</f>
        <v/>
      </c>
      <c r="M96" s="210"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60" x14ac:dyDescent="0.2">
      <c r="A97" s="210">
        <f>IFERROR(IF($A96+1&gt;'(backend scoring)'!$T$335,"",$A96+1),"")</f>
        <v>73</v>
      </c>
      <c r="B97" s="210" t="str">
        <f>_xlfn.XLOOKUP($A97,'(backend scoring)'!$V$2:$V$333,'(backend scoring)'!$A$2:$A$333,"")</f>
        <v>AIGN-01</v>
      </c>
      <c r="C97" s="210" t="str">
        <f>IFERROR(VLOOKUP($B97,'Institution Evaluation'!$A$55:$F$346,2,0),IFERROR(VLOOKUP($B97,'Privacy Analyst Evaluation'!$A$46:$F$120,2,0),""))&amp;""</f>
        <v>Does your solution have an AI risk model when developing or implementing your solution's AI model?*</v>
      </c>
      <c r="D97" s="210" t="str">
        <f>IFERROR(VLOOKUP($B97,'Institution Evaluation'!$A$55:$F$346,3,0),IFERROR(VLOOKUP($B97,'Privacy Analyst Evaluation'!$A$46:$F$120,3,0),""))&amp;""</f>
        <v/>
      </c>
      <c r="E97" s="210" t="str">
        <f>IFERROR(VLOOKUP($B97,'Institution Evaluation'!$A$55:$F$346,4,0),IFERROR(VLOOKUP($B97,'Privacy Analyst Evaluation'!$A$46:$F$120,4,0),""))&amp;""</f>
        <v>This question does not apply.</v>
      </c>
      <c r="F97" s="210" t="str">
        <f>IFERROR(VLOOKUP($B97,'Institution Evaluation'!$A$55:$F$346,6,0),IFERROR(VLOOKUP($B97,'Privacy Analyst Evaluation'!$A$46:$F$120,6,0),""))&amp;""</f>
        <v/>
      </c>
      <c r="G97" s="211"/>
      <c r="H97" s="210" t="str">
        <f>IFERROR(IF($H96+1&gt;'(backend scoring)'!$Q$335,"",$H96+1),"")</f>
        <v/>
      </c>
      <c r="I97" s="210" t="str">
        <f>_xlfn.XLOOKUP($H97,'(backend scoring)'!$S$2:$S$333,'(backend scoring)'!$A$2:$A$333,"")</f>
        <v/>
      </c>
      <c r="J97" s="210" t="str">
        <f>IFERROR(VLOOKUP($I97,'Institution Evaluation'!$A$55:$F$346,2,0),IFERROR(VLOOKUP($I97,'Privacy Analyst Evaluation'!$A$46:$F$120,2,0),""))</f>
        <v/>
      </c>
      <c r="K97" s="210" t="str">
        <f>IFERROR(VLOOKUP($I97,'Institution Evaluation'!$A$55:$F$346,3,0),IFERROR(VLOOKUP($I97,'Privacy Analyst Evaluation'!$A$46:$F$120,3,0),""))&amp;""</f>
        <v/>
      </c>
      <c r="L97" s="210" t="str">
        <f>IFERROR(VLOOKUP($I97,'Institution Evaluation'!$A$55:$F$346,4,0),IFERROR(VLOOKUP($I97,'Privacy Analyst Evaluation'!$A$46:$F$120,4,0),""))&amp;""</f>
        <v/>
      </c>
      <c r="M97" s="210"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45" x14ac:dyDescent="0.2">
      <c r="A98" s="210">
        <f>IFERROR(IF($A97+1&gt;'(backend scoring)'!$T$335,"",$A97+1),"")</f>
        <v>74</v>
      </c>
      <c r="B98" s="210" t="str">
        <f>_xlfn.XLOOKUP($A98,'(backend scoring)'!$V$2:$V$333,'(backend scoring)'!$A$2:$A$333,"")</f>
        <v>AIGN-02</v>
      </c>
      <c r="C98" s="210" t="str">
        <f>IFERROR(VLOOKUP($B98,'Institution Evaluation'!$A$55:$F$346,2,0),IFERROR(VLOOKUP($B98,'Privacy Analyst Evaluation'!$A$46:$F$120,2,0),""))&amp;""</f>
        <v>Can your solution's AI features be disabled by tenant and/or user?*</v>
      </c>
      <c r="D98" s="210" t="str">
        <f>IFERROR(VLOOKUP($B98,'Institution Evaluation'!$A$55:$F$346,3,0),IFERROR(VLOOKUP($B98,'Privacy Analyst Evaluation'!$A$46:$F$120,3,0),""))&amp;""</f>
        <v/>
      </c>
      <c r="E98" s="210" t="str">
        <f>IFERROR(VLOOKUP($B98,'Institution Evaluation'!$A$55:$F$346,4,0),IFERROR(VLOOKUP($B98,'Privacy Analyst Evaluation'!$A$46:$F$120,4,0),""))&amp;""</f>
        <v>This question does not apply.</v>
      </c>
      <c r="F98" s="210" t="str">
        <f>IFERROR(VLOOKUP($B98,'Institution Evaluation'!$A$55:$F$346,6,0),IFERROR(VLOOKUP($B98,'Privacy Analyst Evaluation'!$A$46:$F$120,6,0),""))&amp;""</f>
        <v/>
      </c>
      <c r="G98" s="211"/>
      <c r="H98" s="210" t="str">
        <f>IFERROR(IF($H97+1&gt;'(backend scoring)'!$Q$335,"",$H97+1),"")</f>
        <v/>
      </c>
      <c r="I98" s="210" t="str">
        <f>_xlfn.XLOOKUP($H98,'(backend scoring)'!$S$2:$S$333,'(backend scoring)'!$A$2:$A$333,"")</f>
        <v/>
      </c>
      <c r="J98" s="210" t="str">
        <f>IFERROR(VLOOKUP($I98,'Institution Evaluation'!$A$55:$F$346,2,0),IFERROR(VLOOKUP($I98,'Privacy Analyst Evaluation'!$A$46:$F$120,2,0),""))</f>
        <v/>
      </c>
      <c r="K98" s="210" t="str">
        <f>IFERROR(VLOOKUP($I98,'Institution Evaluation'!$A$55:$F$346,3,0),IFERROR(VLOOKUP($I98,'Privacy Analyst Evaluation'!$A$46:$F$120,3,0),""))&amp;""</f>
        <v/>
      </c>
      <c r="L98" s="210" t="str">
        <f>IFERROR(VLOOKUP($I98,'Institution Evaluation'!$A$55:$F$346,4,0),IFERROR(VLOOKUP($I98,'Privacy Analyst Evaluation'!$A$46:$F$120,4,0),""))&amp;""</f>
        <v/>
      </c>
      <c r="M98" s="210"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30" x14ac:dyDescent="0.2">
      <c r="A99" s="210">
        <f>IFERROR(IF($A98+1&gt;'(backend scoring)'!$T$335,"",$A98+1),"")</f>
        <v>75</v>
      </c>
      <c r="B99" s="210" t="str">
        <f>_xlfn.XLOOKUP($A99,'(backend scoring)'!$V$2:$V$333,'(backend scoring)'!$A$2:$A$333,"")</f>
        <v>AIGN-03</v>
      </c>
      <c r="C99" s="210" t="str">
        <f>IFERROR(VLOOKUP($B99,'Institution Evaluation'!$A$55:$F$346,2,0),IFERROR(VLOOKUP($B99,'Privacy Analyst Evaluation'!$A$46:$F$120,2,0),""))&amp;""</f>
        <v>Have your staff completed responsible AI training?*</v>
      </c>
      <c r="D99" s="210" t="str">
        <f>IFERROR(VLOOKUP($B99,'Institution Evaluation'!$A$55:$F$346,3,0),IFERROR(VLOOKUP($B99,'Privacy Analyst Evaluation'!$A$46:$F$120,3,0),""))&amp;""</f>
        <v/>
      </c>
      <c r="E99" s="210" t="str">
        <f>IFERROR(VLOOKUP($B99,'Institution Evaluation'!$A$55:$F$346,4,0),IFERROR(VLOOKUP($B99,'Privacy Analyst Evaluation'!$A$46:$F$120,4,0),""))&amp;""</f>
        <v>This question does not apply.</v>
      </c>
      <c r="F99" s="210" t="str">
        <f>IFERROR(VLOOKUP($B99,'Institution Evaluation'!$A$55:$F$346,6,0),IFERROR(VLOOKUP($B99,'Privacy Analyst Evaluation'!$A$46:$F$120,6,0),""))&amp;""</f>
        <v/>
      </c>
      <c r="G99" s="211"/>
      <c r="H99" s="210" t="str">
        <f>IFERROR(IF($H98+1&gt;'(backend scoring)'!$Q$335,"",$H98+1),"")</f>
        <v/>
      </c>
      <c r="I99" s="210" t="str">
        <f>_xlfn.XLOOKUP($H99,'(backend scoring)'!$S$2:$S$333,'(backend scoring)'!$A$2:$A$333,"")</f>
        <v/>
      </c>
      <c r="J99" s="210" t="str">
        <f>IFERROR(VLOOKUP($I99,'Institution Evaluation'!$A$55:$F$346,2,0),IFERROR(VLOOKUP($I99,'Privacy Analyst Evaluation'!$A$46:$F$120,2,0),""))</f>
        <v/>
      </c>
      <c r="K99" s="210" t="str">
        <f>IFERROR(VLOOKUP($I99,'Institution Evaluation'!$A$55:$F$346,3,0),IFERROR(VLOOKUP($I99,'Privacy Analyst Evaluation'!$A$46:$F$120,3,0),""))&amp;""</f>
        <v/>
      </c>
      <c r="L99" s="210" t="str">
        <f>IFERROR(VLOOKUP($I99,'Institution Evaluation'!$A$55:$F$346,4,0),IFERROR(VLOOKUP($I99,'Privacy Analyst Evaluation'!$A$46:$F$120,4,0),""))&amp;""</f>
        <v/>
      </c>
      <c r="M99" s="210"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135" x14ac:dyDescent="0.2">
      <c r="A100" s="210">
        <f>IFERROR(IF($A99+1&gt;'(backend scoring)'!$T$335,"",$A99+1),"")</f>
        <v>76</v>
      </c>
      <c r="B100" s="210" t="str">
        <f>_xlfn.XLOOKUP($A100,'(backend scoring)'!$V$2:$V$333,'(backend scoring)'!$A$2:$A$333,"")</f>
        <v>AIPL-01</v>
      </c>
      <c r="C100" s="210" t="str">
        <f>IFERROR(VLOOKUP($B100,'Institution Evaluation'!$A$55:$F$346,2,0),IFERROR(VLOOKUP($B100,'Privacy Analyst Evaluation'!$A$46:$F$120,2,0),""))&amp;""</f>
        <v>Are your AI developer's policies, processes, procedures, and practices across the organization related to the mapping, measuring, and managing of AI risks conspicuously posted, unambiguous, and implemented effectively?*</v>
      </c>
      <c r="D100" s="210" t="str">
        <f>IFERROR(VLOOKUP($B100,'Institution Evaluation'!$A$55:$F$346,3,0),IFERROR(VLOOKUP($B100,'Privacy Analyst Evaluation'!$A$46:$F$120,3,0),""))&amp;""</f>
        <v/>
      </c>
      <c r="E100" s="210" t="str">
        <f>IFERROR(VLOOKUP($B100,'Institution Evaluation'!$A$55:$F$346,4,0),IFERROR(VLOOKUP($B100,'Privacy Analyst Evaluation'!$A$46:$F$120,4,0),""))&amp;""</f>
        <v>This question does not apply.</v>
      </c>
      <c r="F100" s="210" t="str">
        <f>IFERROR(VLOOKUP($B100,'Institution Evaluation'!$A$55:$F$346,6,0),IFERROR(VLOOKUP($B100,'Privacy Analyst Evaluation'!$A$46:$F$120,6,0),""))&amp;""</f>
        <v/>
      </c>
      <c r="G100" s="211"/>
      <c r="H100" s="210" t="str">
        <f>IFERROR(IF($H99+1&gt;'(backend scoring)'!$Q$335,"",$H99+1),"")</f>
        <v/>
      </c>
      <c r="I100" s="210" t="str">
        <f>_xlfn.XLOOKUP($H100,'(backend scoring)'!$S$2:$S$333,'(backend scoring)'!$A$2:$A$333,"")</f>
        <v/>
      </c>
      <c r="J100" s="210" t="str">
        <f>IFERROR(VLOOKUP($I100,'Institution Evaluation'!$A$55:$F$346,2,0),IFERROR(VLOOKUP($I100,'Privacy Analyst Evaluation'!$A$46:$F$120,2,0),""))</f>
        <v/>
      </c>
      <c r="K100" s="210" t="str">
        <f>IFERROR(VLOOKUP($I100,'Institution Evaluation'!$A$55:$F$346,3,0),IFERROR(VLOOKUP($I100,'Privacy Analyst Evaluation'!$A$46:$F$120,3,0),""))&amp;""</f>
        <v/>
      </c>
      <c r="L100" s="210" t="str">
        <f>IFERROR(VLOOKUP($I100,'Institution Evaluation'!$A$55:$F$346,4,0),IFERROR(VLOOKUP($I100,'Privacy Analyst Evaluation'!$A$46:$F$120,4,0),""))&amp;""</f>
        <v/>
      </c>
      <c r="M100" s="210"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x14ac:dyDescent="0.2">
      <c r="A101" s="210">
        <f>IFERROR(IF($A100+1&gt;'(backend scoring)'!$T$335,"",$A100+1),"")</f>
        <v>77</v>
      </c>
      <c r="B101" s="210" t="str">
        <f>_xlfn.XLOOKUP($A101,'(backend scoring)'!$V$2:$V$333,'(backend scoring)'!$A$2:$A$333,"")</f>
        <v>AIPL-02</v>
      </c>
      <c r="C101" s="210" t="str">
        <f>IFERROR(VLOOKUP($B101,'Institution Evaluation'!$A$55:$F$346,2,0),IFERROR(VLOOKUP($B101,'Privacy Analyst Evaluation'!$A$46:$F$120,2,0),""))&amp;""</f>
        <v>Have you identified and measured AI risks?*</v>
      </c>
      <c r="D101" s="210" t="str">
        <f>IFERROR(VLOOKUP($B101,'Institution Evaluation'!$A$55:$F$346,3,0),IFERROR(VLOOKUP($B101,'Privacy Analyst Evaluation'!$A$46:$F$120,3,0),""))&amp;""</f>
        <v/>
      </c>
      <c r="E101" s="210" t="str">
        <f>IFERROR(VLOOKUP($B101,'Institution Evaluation'!$A$55:$F$346,4,0),IFERROR(VLOOKUP($B101,'Privacy Analyst Evaluation'!$A$46:$F$120,4,0),""))&amp;""</f>
        <v>This question does not apply.</v>
      </c>
      <c r="F101" s="210" t="str">
        <f>IFERROR(VLOOKUP($B101,'Institution Evaluation'!$A$55:$F$346,6,0),IFERROR(VLOOKUP($B101,'Privacy Analyst Evaluation'!$A$46:$F$120,6,0),""))&amp;""</f>
        <v/>
      </c>
      <c r="G101" s="211"/>
      <c r="H101" s="210" t="str">
        <f>IFERROR(IF($H100+1&gt;'(backend scoring)'!$Q$335,"",$H100+1),"")</f>
        <v/>
      </c>
      <c r="I101" s="210" t="str">
        <f>_xlfn.XLOOKUP($H101,'(backend scoring)'!$S$2:$S$333,'(backend scoring)'!$A$2:$A$333,"")</f>
        <v/>
      </c>
      <c r="J101" s="210" t="str">
        <f>IFERROR(VLOOKUP($I101,'Institution Evaluation'!$A$55:$F$346,2,0),IFERROR(VLOOKUP($I101,'Privacy Analyst Evaluation'!$A$46:$F$120,2,0),""))</f>
        <v/>
      </c>
      <c r="K101" s="210" t="str">
        <f>IFERROR(VLOOKUP($I101,'Institution Evaluation'!$A$55:$F$346,3,0),IFERROR(VLOOKUP($I101,'Privacy Analyst Evaluation'!$A$46:$F$120,3,0),""))&amp;""</f>
        <v/>
      </c>
      <c r="L101" s="210" t="str">
        <f>IFERROR(VLOOKUP($I101,'Institution Evaluation'!$A$55:$F$346,4,0),IFERROR(VLOOKUP($I101,'Privacy Analyst Evaluation'!$A$46:$F$120,4,0),""))&amp;""</f>
        <v/>
      </c>
      <c r="M101" s="210"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45" x14ac:dyDescent="0.2">
      <c r="A102" s="210">
        <f>IFERROR(IF($A101+1&gt;'(backend scoring)'!$T$335,"",$A101+1),"")</f>
        <v>78</v>
      </c>
      <c r="B102" s="210" t="str">
        <f>_xlfn.XLOOKUP($A102,'(backend scoring)'!$V$2:$V$333,'(backend scoring)'!$A$2:$A$333,"")</f>
        <v>AIPL-03</v>
      </c>
      <c r="C102" s="210" t="str">
        <f>IFERROR(VLOOKUP($B102,'Institution Evaluation'!$A$55:$F$346,2,0),IFERROR(VLOOKUP($B102,'Privacy Analyst Evaluation'!$A$46:$F$120,2,0),""))&amp;""</f>
        <v>In the event of an incident, can your solution's AI features be disabled in a timely manner?*</v>
      </c>
      <c r="D102" s="210" t="str">
        <f>IFERROR(VLOOKUP($B102,'Institution Evaluation'!$A$55:$F$346,3,0),IFERROR(VLOOKUP($B102,'Privacy Analyst Evaluation'!$A$46:$F$120,3,0),""))&amp;""</f>
        <v/>
      </c>
      <c r="E102" s="210" t="str">
        <f>IFERROR(VLOOKUP($B102,'Institution Evaluation'!$A$55:$F$346,4,0),IFERROR(VLOOKUP($B102,'Privacy Analyst Evaluation'!$A$46:$F$120,4,0),""))&amp;""</f>
        <v>This question does not apply.</v>
      </c>
      <c r="F102" s="210" t="str">
        <f>IFERROR(VLOOKUP($B102,'Institution Evaluation'!$A$55:$F$346,6,0),IFERROR(VLOOKUP($B102,'Privacy Analyst Evaluation'!$A$46:$F$120,6,0),""))&amp;""</f>
        <v/>
      </c>
      <c r="G102" s="211"/>
      <c r="H102" s="210" t="str">
        <f>IFERROR(IF($H101+1&gt;'(backend scoring)'!$Q$335,"",$H101+1),"")</f>
        <v/>
      </c>
      <c r="I102" s="210" t="str">
        <f>_xlfn.XLOOKUP($H102,'(backend scoring)'!$S$2:$S$333,'(backend scoring)'!$A$2:$A$333,"")</f>
        <v/>
      </c>
      <c r="J102" s="210" t="str">
        <f>IFERROR(VLOOKUP($I102,'Institution Evaluation'!$A$55:$F$346,2,0),IFERROR(VLOOKUP($I102,'Privacy Analyst Evaluation'!$A$46:$F$120,2,0),""))</f>
        <v/>
      </c>
      <c r="K102" s="210" t="str">
        <f>IFERROR(VLOOKUP($I102,'Institution Evaluation'!$A$55:$F$346,3,0),IFERROR(VLOOKUP($I102,'Privacy Analyst Evaluation'!$A$46:$F$120,3,0),""))&amp;""</f>
        <v/>
      </c>
      <c r="L102" s="210" t="str">
        <f>IFERROR(VLOOKUP($I102,'Institution Evaluation'!$A$55:$F$346,4,0),IFERROR(VLOOKUP($I102,'Privacy Analyst Evaluation'!$A$46:$F$120,4,0),""))&amp;""</f>
        <v/>
      </c>
      <c r="M102" s="210"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x14ac:dyDescent="0.2">
      <c r="A103" s="210">
        <f>IFERROR(IF($A102+1&gt;'(backend scoring)'!$T$335,"",$A102+1),"")</f>
        <v>79</v>
      </c>
      <c r="B103" s="210" t="str">
        <f>_xlfn.XLOOKUP($A103,'(backend scoring)'!$V$2:$V$333,'(backend scoring)'!$A$2:$A$333,"")</f>
        <v>AIPL-04</v>
      </c>
      <c r="C103" s="210" t="str">
        <f>IFERROR(VLOOKUP($B103,'Institution Evaluation'!$A$55:$F$346,2,0),IFERROR(VLOOKUP($B103,'Privacy Analyst Evaluation'!$A$46:$F$120,2,0),""))&amp;""</f>
        <v>If disabled because of an incident, can your solution's AI features be re-enabled in a timely manner?*</v>
      </c>
      <c r="D103" s="210" t="str">
        <f>IFERROR(VLOOKUP($B103,'Institution Evaluation'!$A$55:$F$346,3,0),IFERROR(VLOOKUP($B103,'Privacy Analyst Evaluation'!$A$46:$F$120,3,0),""))&amp;""</f>
        <v/>
      </c>
      <c r="E103" s="210" t="str">
        <f>IFERROR(VLOOKUP($B103,'Institution Evaluation'!$A$55:$F$346,4,0),IFERROR(VLOOKUP($B103,'Privacy Analyst Evaluation'!$A$46:$F$120,4,0),""))&amp;""</f>
        <v>This question does not apply.</v>
      </c>
      <c r="F103" s="210" t="str">
        <f>IFERROR(VLOOKUP($B103,'Institution Evaluation'!$A$55:$F$346,6,0),IFERROR(VLOOKUP($B103,'Privacy Analyst Evaluation'!$A$46:$F$120,6,0),""))&amp;""</f>
        <v/>
      </c>
      <c r="G103" s="211"/>
      <c r="H103" s="210" t="str">
        <f>IFERROR(IF($H102+1&gt;'(backend scoring)'!$Q$335,"",$H102+1),"")</f>
        <v/>
      </c>
      <c r="I103" s="210" t="str">
        <f>_xlfn.XLOOKUP($H103,'(backend scoring)'!$S$2:$S$333,'(backend scoring)'!$A$2:$A$333,"")</f>
        <v/>
      </c>
      <c r="J103" s="210" t="str">
        <f>IFERROR(VLOOKUP($I103,'Institution Evaluation'!$A$55:$F$346,2,0),IFERROR(VLOOKUP($I103,'Privacy Analyst Evaluation'!$A$46:$F$120,2,0),""))</f>
        <v/>
      </c>
      <c r="K103" s="210" t="str">
        <f>IFERROR(VLOOKUP($I103,'Institution Evaluation'!$A$55:$F$346,3,0),IFERROR(VLOOKUP($I103,'Privacy Analyst Evaluation'!$A$46:$F$120,3,0),""))&amp;""</f>
        <v/>
      </c>
      <c r="L103" s="210" t="str">
        <f>IFERROR(VLOOKUP($I103,'Institution Evaluation'!$A$55:$F$346,4,0),IFERROR(VLOOKUP($I103,'Privacy Analyst Evaluation'!$A$46:$F$120,4,0),""))&amp;""</f>
        <v/>
      </c>
      <c r="M103" s="210"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60" x14ac:dyDescent="0.2">
      <c r="A104" s="210">
        <f>IFERROR(IF($A103+1&gt;'(backend scoring)'!$T$335,"",$A103+1),"")</f>
        <v>80</v>
      </c>
      <c r="B104" s="210" t="str">
        <f>_xlfn.XLOOKUP($A104,'(backend scoring)'!$V$2:$V$333,'(backend scoring)'!$A$2:$A$333,"")</f>
        <v>AISC-01</v>
      </c>
      <c r="C104" s="210" t="str">
        <f>IFERROR(VLOOKUP($B104,'Institution Evaluation'!$A$55:$F$346,2,0),IFERROR(VLOOKUP($B104,'Privacy Analyst Evaluation'!$A$46:$F$120,2,0),""))&amp;""</f>
        <v>If sensitive data is introduced to your solution's AI model, can the data be removed from the AI model by request?*</v>
      </c>
      <c r="D104" s="210" t="str">
        <f>IFERROR(VLOOKUP($B104,'Institution Evaluation'!$A$55:$F$346,3,0),IFERROR(VLOOKUP($B104,'Privacy Analyst Evaluation'!$A$46:$F$120,3,0),""))&amp;""</f>
        <v/>
      </c>
      <c r="E104" s="210" t="str">
        <f>IFERROR(VLOOKUP($B104,'Institution Evaluation'!$A$55:$F$346,4,0),IFERROR(VLOOKUP($B104,'Privacy Analyst Evaluation'!$A$46:$F$120,4,0),""))&amp;""</f>
        <v>This question does not apply.</v>
      </c>
      <c r="F104" s="210" t="str">
        <f>IFERROR(VLOOKUP($B104,'Institution Evaluation'!$A$55:$F$346,6,0),IFERROR(VLOOKUP($B104,'Privacy Analyst Evaluation'!$A$46:$F$120,6,0),""))&amp;""</f>
        <v/>
      </c>
      <c r="G104" s="211"/>
      <c r="H104" s="210" t="str">
        <f>IFERROR(IF($H103+1&gt;'(backend scoring)'!$Q$335,"",$H103+1),"")</f>
        <v/>
      </c>
      <c r="I104" s="210" t="str">
        <f>_xlfn.XLOOKUP($H104,'(backend scoring)'!$S$2:$S$333,'(backend scoring)'!$A$2:$A$333,"")</f>
        <v/>
      </c>
      <c r="J104" s="210" t="str">
        <f>IFERROR(VLOOKUP($I104,'Institution Evaluation'!$A$55:$F$346,2,0),IFERROR(VLOOKUP($I104,'Privacy Analyst Evaluation'!$A$46:$F$120,2,0),""))</f>
        <v/>
      </c>
      <c r="K104" s="210" t="str">
        <f>IFERROR(VLOOKUP($I104,'Institution Evaluation'!$A$55:$F$346,3,0),IFERROR(VLOOKUP($I104,'Privacy Analyst Evaluation'!$A$46:$F$120,3,0),""))&amp;""</f>
        <v/>
      </c>
      <c r="L104" s="210" t="str">
        <f>IFERROR(VLOOKUP($I104,'Institution Evaluation'!$A$55:$F$346,4,0),IFERROR(VLOOKUP($I104,'Privacy Analyst Evaluation'!$A$46:$F$120,4,0),""))&amp;""</f>
        <v/>
      </c>
      <c r="M104" s="210"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45" x14ac:dyDescent="0.2">
      <c r="A105" s="210">
        <f>IFERROR(IF($A104+1&gt;'(backend scoring)'!$T$335,"",$A104+1),"")</f>
        <v>81</v>
      </c>
      <c r="B105" s="210" t="str">
        <f>_xlfn.XLOOKUP($A105,'(backend scoring)'!$V$2:$V$333,'(backend scoring)'!$A$2:$A$333,"")</f>
        <v>AISC-02</v>
      </c>
      <c r="C105" s="210" t="str">
        <f>IFERROR(VLOOKUP($B105,'Institution Evaluation'!$A$55:$F$346,2,0),IFERROR(VLOOKUP($B105,'Privacy Analyst Evaluation'!$A$46:$F$120,2,0),""))&amp;""</f>
        <v>Is user input data used to influence your solution's AI model?*</v>
      </c>
      <c r="D105" s="210" t="str">
        <f>IFERROR(VLOOKUP($B105,'Institution Evaluation'!$A$55:$F$346,3,0),IFERROR(VLOOKUP($B105,'Privacy Analyst Evaluation'!$A$46:$F$120,3,0),""))&amp;""</f>
        <v/>
      </c>
      <c r="E105" s="210" t="str">
        <f>IFERROR(VLOOKUP($B105,'Institution Evaluation'!$A$55:$F$346,4,0),IFERROR(VLOOKUP($B105,'Privacy Analyst Evaluation'!$A$46:$F$120,4,0),""))&amp;""</f>
        <v>This question does not apply.</v>
      </c>
      <c r="F105" s="210" t="str">
        <f>IFERROR(VLOOKUP($B105,'Institution Evaluation'!$A$55:$F$346,6,0),IFERROR(VLOOKUP($B105,'Privacy Analyst Evaluation'!$A$46:$F$120,6,0),""))&amp;""</f>
        <v/>
      </c>
      <c r="G105" s="211"/>
      <c r="H105" s="210" t="str">
        <f>IFERROR(IF($H104+1&gt;'(backend scoring)'!$Q$335,"",$H104+1),"")</f>
        <v/>
      </c>
      <c r="I105" s="210" t="str">
        <f>_xlfn.XLOOKUP($H105,'(backend scoring)'!$S$2:$S$333,'(backend scoring)'!$A$2:$A$333,"")</f>
        <v/>
      </c>
      <c r="J105" s="210" t="str">
        <f>IFERROR(VLOOKUP($I105,'Institution Evaluation'!$A$55:$F$346,2,0),IFERROR(VLOOKUP($I105,'Privacy Analyst Evaluation'!$A$46:$F$120,2,0),""))</f>
        <v/>
      </c>
      <c r="K105" s="210" t="str">
        <f>IFERROR(VLOOKUP($I105,'Institution Evaluation'!$A$55:$F$346,3,0),IFERROR(VLOOKUP($I105,'Privacy Analyst Evaluation'!$A$46:$F$120,3,0),""))&amp;""</f>
        <v/>
      </c>
      <c r="L105" s="210" t="str">
        <f>IFERROR(VLOOKUP($I105,'Institution Evaluation'!$A$55:$F$346,4,0),IFERROR(VLOOKUP($I105,'Privacy Analyst Evaluation'!$A$46:$F$120,4,0),""))&amp;""</f>
        <v/>
      </c>
      <c r="M105" s="210"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x14ac:dyDescent="0.2">
      <c r="A106" s="210">
        <f>IFERROR(IF($A105+1&gt;'(backend scoring)'!$T$335,"",$A105+1),"")</f>
        <v>82</v>
      </c>
      <c r="B106" s="210" t="str">
        <f>_xlfn.XLOOKUP($A106,'(backend scoring)'!$V$2:$V$333,'(backend scoring)'!$A$2:$A$333,"")</f>
        <v>AISC-03</v>
      </c>
      <c r="C106" s="210" t="str">
        <f>IFERROR(VLOOKUP($B106,'Institution Evaluation'!$A$55:$F$346,2,0),IFERROR(VLOOKUP($B106,'Privacy Analyst Evaluation'!$A$46:$F$120,2,0),""))&amp;""</f>
        <v>Do you provide logging for your solution's AI feature(s) that includes user, date, and action taken?*</v>
      </c>
      <c r="D106" s="210" t="str">
        <f>IFERROR(VLOOKUP($B106,'Institution Evaluation'!$A$55:$F$346,3,0),IFERROR(VLOOKUP($B106,'Privacy Analyst Evaluation'!$A$46:$F$120,3,0),""))&amp;""</f>
        <v/>
      </c>
      <c r="E106" s="210" t="str">
        <f>IFERROR(VLOOKUP($B106,'Institution Evaluation'!$A$55:$F$346,4,0),IFERROR(VLOOKUP($B106,'Privacy Analyst Evaluation'!$A$46:$F$120,4,0),""))&amp;""</f>
        <v>This question does not apply.</v>
      </c>
      <c r="F106" s="210" t="str">
        <f>IFERROR(VLOOKUP($B106,'Institution Evaluation'!$A$55:$F$346,6,0),IFERROR(VLOOKUP($B106,'Privacy Analyst Evaluation'!$A$46:$F$120,6,0),""))&amp;""</f>
        <v/>
      </c>
      <c r="G106" s="211"/>
      <c r="H106" s="210" t="str">
        <f>IFERROR(IF($H105+1&gt;'(backend scoring)'!$Q$335,"",$H105+1),"")</f>
        <v/>
      </c>
      <c r="I106" s="210" t="str">
        <f>_xlfn.XLOOKUP($H106,'(backend scoring)'!$S$2:$S$333,'(backend scoring)'!$A$2:$A$333,"")</f>
        <v/>
      </c>
      <c r="J106" s="210" t="str">
        <f>IFERROR(VLOOKUP($I106,'Institution Evaluation'!$A$55:$F$346,2,0),IFERROR(VLOOKUP($I106,'Privacy Analyst Evaluation'!$A$46:$F$120,2,0),""))</f>
        <v/>
      </c>
      <c r="K106" s="210" t="str">
        <f>IFERROR(VLOOKUP($I106,'Institution Evaluation'!$A$55:$F$346,3,0),IFERROR(VLOOKUP($I106,'Privacy Analyst Evaluation'!$A$46:$F$120,3,0),""))&amp;""</f>
        <v/>
      </c>
      <c r="L106" s="210" t="str">
        <f>IFERROR(VLOOKUP($I106,'Institution Evaluation'!$A$55:$F$346,4,0),IFERROR(VLOOKUP($I106,'Privacy Analyst Evaluation'!$A$46:$F$120,4,0),""))&amp;""</f>
        <v/>
      </c>
      <c r="M106" s="210"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x14ac:dyDescent="0.2">
      <c r="A107" s="210">
        <f>IFERROR(IF($A106+1&gt;'(backend scoring)'!$T$335,"",$A106+1),"")</f>
        <v>83</v>
      </c>
      <c r="B107" s="210" t="str">
        <f>_xlfn.XLOOKUP($A107,'(backend scoring)'!$V$2:$V$333,'(backend scoring)'!$A$2:$A$333,"")</f>
        <v>AIML-01</v>
      </c>
      <c r="C107" s="210" t="str">
        <f>IFERROR(VLOOKUP($B107,'Institution Evaluation'!$A$55:$F$346,2,0),IFERROR(VLOOKUP($B107,'Privacy Analyst Evaluation'!$A$46:$F$120,2,0),""))&amp;""</f>
        <v>Do you separate ML training data from your ML solution data?*</v>
      </c>
      <c r="D107" s="210" t="str">
        <f>IFERROR(VLOOKUP($B107,'Institution Evaluation'!$A$55:$F$346,3,0),IFERROR(VLOOKUP($B107,'Privacy Analyst Evaluation'!$A$46:$F$120,3,0),""))&amp;""</f>
        <v/>
      </c>
      <c r="E107" s="210" t="str">
        <f>IFERROR(VLOOKUP($B107,'Institution Evaluation'!$A$55:$F$346,4,0),IFERROR(VLOOKUP($B107,'Privacy Analyst Evaluation'!$A$46:$F$120,4,0),""))&amp;""</f>
        <v>This question does not apply.</v>
      </c>
      <c r="F107" s="210" t="str">
        <f>IFERROR(VLOOKUP($B107,'Institution Evaluation'!$A$55:$F$346,6,0),IFERROR(VLOOKUP($B107,'Privacy Analyst Evaluation'!$A$46:$F$120,6,0),""))&amp;""</f>
        <v/>
      </c>
      <c r="G107" s="211"/>
      <c r="H107" s="210" t="str">
        <f>IFERROR(IF($H106+1&gt;'(backend scoring)'!$Q$335,"",$H106+1),"")</f>
        <v/>
      </c>
      <c r="I107" s="210" t="str">
        <f>_xlfn.XLOOKUP($H107,'(backend scoring)'!$S$2:$S$333,'(backend scoring)'!$A$2:$A$333,"")</f>
        <v/>
      </c>
      <c r="J107" s="210" t="str">
        <f>IFERROR(VLOOKUP($I107,'Institution Evaluation'!$A$55:$F$346,2,0),IFERROR(VLOOKUP($I107,'Privacy Analyst Evaluation'!$A$46:$F$120,2,0),""))</f>
        <v/>
      </c>
      <c r="K107" s="210" t="str">
        <f>IFERROR(VLOOKUP($I107,'Institution Evaluation'!$A$55:$F$346,3,0),IFERROR(VLOOKUP($I107,'Privacy Analyst Evaluation'!$A$46:$F$120,3,0),""))&amp;""</f>
        <v/>
      </c>
      <c r="L107" s="210" t="str">
        <f>IFERROR(VLOOKUP($I107,'Institution Evaluation'!$A$55:$F$346,4,0),IFERROR(VLOOKUP($I107,'Privacy Analyst Evaluation'!$A$46:$F$120,4,0),""))&amp;""</f>
        <v/>
      </c>
      <c r="M107" s="210"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x14ac:dyDescent="0.2">
      <c r="A108" s="210">
        <f>IFERROR(IF($A107+1&gt;'(backend scoring)'!$T$335,"",$A107+1),"")</f>
        <v>84</v>
      </c>
      <c r="B108" s="210" t="str">
        <f>_xlfn.XLOOKUP($A108,'(backend scoring)'!$V$2:$V$333,'(backend scoring)'!$A$2:$A$333,"")</f>
        <v>AIML-02</v>
      </c>
      <c r="C108" s="210" t="str">
        <f>IFERROR(VLOOKUP($B108,'Institution Evaluation'!$A$55:$F$346,2,0),IFERROR(VLOOKUP($B108,'Privacy Analyst Evaluation'!$A$46:$F$120,2,0),""))&amp;""</f>
        <v>Do you authenticate and verify your ML model's feedback?*</v>
      </c>
      <c r="D108" s="210" t="str">
        <f>IFERROR(VLOOKUP($B108,'Institution Evaluation'!$A$55:$F$346,3,0),IFERROR(VLOOKUP($B108,'Privacy Analyst Evaluation'!$A$46:$F$120,3,0),""))&amp;""</f>
        <v/>
      </c>
      <c r="E108" s="210" t="str">
        <f>IFERROR(VLOOKUP($B108,'Institution Evaluation'!$A$55:$F$346,4,0),IFERROR(VLOOKUP($B108,'Privacy Analyst Evaluation'!$A$46:$F$120,4,0),""))&amp;""</f>
        <v>This question does not apply.</v>
      </c>
      <c r="F108" s="210" t="str">
        <f>IFERROR(VLOOKUP($B108,'Institution Evaluation'!$A$55:$F$346,6,0),IFERROR(VLOOKUP($B108,'Privacy Analyst Evaluation'!$A$46:$F$120,6,0),""))&amp;""</f>
        <v/>
      </c>
      <c r="G108" s="211"/>
      <c r="H108" s="210" t="str">
        <f>IFERROR(IF($H107+1&gt;'(backend scoring)'!$Q$335,"",$H107+1),"")</f>
        <v/>
      </c>
      <c r="I108" s="210" t="str">
        <f>_xlfn.XLOOKUP($H108,'(backend scoring)'!$S$2:$S$333,'(backend scoring)'!$A$2:$A$333,"")</f>
        <v/>
      </c>
      <c r="J108" s="210" t="str">
        <f>IFERROR(VLOOKUP($I108,'Institution Evaluation'!$A$55:$F$346,2,0),IFERROR(VLOOKUP($I108,'Privacy Analyst Evaluation'!$A$46:$F$120,2,0),""))</f>
        <v/>
      </c>
      <c r="K108" s="210" t="str">
        <f>IFERROR(VLOOKUP($I108,'Institution Evaluation'!$A$55:$F$346,3,0),IFERROR(VLOOKUP($I108,'Privacy Analyst Evaluation'!$A$46:$F$120,3,0),""))&amp;""</f>
        <v/>
      </c>
      <c r="L108" s="210" t="str">
        <f>IFERROR(VLOOKUP($I108,'Institution Evaluation'!$A$55:$F$346,4,0),IFERROR(VLOOKUP($I108,'Privacy Analyst Evaluation'!$A$46:$F$120,4,0),""))&amp;""</f>
        <v/>
      </c>
      <c r="M108" s="210"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0" x14ac:dyDescent="0.2">
      <c r="A109" s="210">
        <f>IFERROR(IF($A108+1&gt;'(backend scoring)'!$T$335,"",$A108+1),"")</f>
        <v>85</v>
      </c>
      <c r="B109" s="210" t="str">
        <f>_xlfn.XLOOKUP($A109,'(backend scoring)'!$V$2:$V$333,'(backend scoring)'!$A$2:$A$333,"")</f>
        <v>AILM-01</v>
      </c>
      <c r="C109" s="210" t="str">
        <f>IFERROR(VLOOKUP($B109,'Institution Evaluation'!$A$55:$F$346,2,0),IFERROR(VLOOKUP($B109,'Privacy Analyst Evaluation'!$A$46:$F$120,2,0),""))&amp;""</f>
        <v>Do you limit your solution's LLM privileges by default?*</v>
      </c>
      <c r="D109" s="210" t="str">
        <f>IFERROR(VLOOKUP($B109,'Institution Evaluation'!$A$55:$F$346,3,0),IFERROR(VLOOKUP($B109,'Privacy Analyst Evaluation'!$A$46:$F$120,3,0),""))&amp;""</f>
        <v/>
      </c>
      <c r="E109" s="210" t="str">
        <f>IFERROR(VLOOKUP($B109,'Institution Evaluation'!$A$55:$F$346,4,0),IFERROR(VLOOKUP($B109,'Privacy Analyst Evaluation'!$A$46:$F$120,4,0),""))&amp;""</f>
        <v>This question does not apply.</v>
      </c>
      <c r="F109" s="210" t="str">
        <f>IFERROR(VLOOKUP($B109,'Institution Evaluation'!$A$55:$F$346,6,0),IFERROR(VLOOKUP($B109,'Privacy Analyst Evaluation'!$A$46:$F$120,6,0),""))&amp;""</f>
        <v/>
      </c>
      <c r="G109" s="211"/>
      <c r="H109" s="210" t="str">
        <f>IFERROR(IF($H108+1&gt;'(backend scoring)'!$Q$335,"",$H108+1),"")</f>
        <v/>
      </c>
      <c r="I109" s="210" t="str">
        <f>_xlfn.XLOOKUP($H109,'(backend scoring)'!$S$2:$S$333,'(backend scoring)'!$A$2:$A$333,"")</f>
        <v/>
      </c>
      <c r="J109" s="210" t="str">
        <f>IFERROR(VLOOKUP($I109,'Institution Evaluation'!$A$55:$F$346,2,0),IFERROR(VLOOKUP($I109,'Privacy Analyst Evaluation'!$A$46:$F$120,2,0),""))</f>
        <v/>
      </c>
      <c r="K109" s="210" t="str">
        <f>IFERROR(VLOOKUP($I109,'Institution Evaluation'!$A$55:$F$346,3,0),IFERROR(VLOOKUP($I109,'Privacy Analyst Evaluation'!$A$46:$F$120,3,0),""))&amp;""</f>
        <v/>
      </c>
      <c r="L109" s="210" t="str">
        <f>IFERROR(VLOOKUP($I109,'Institution Evaluation'!$A$55:$F$346,4,0),IFERROR(VLOOKUP($I109,'Privacy Analyst Evaluation'!$A$46:$F$120,4,0),""))&amp;""</f>
        <v/>
      </c>
      <c r="M109" s="210"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60" x14ac:dyDescent="0.2">
      <c r="A110" s="210">
        <f>IFERROR(IF($A109+1&gt;'(backend scoring)'!$T$335,"",$A109+1),"")</f>
        <v>86</v>
      </c>
      <c r="B110" s="210" t="str">
        <f>_xlfn.XLOOKUP($A110,'(backend scoring)'!$V$2:$V$333,'(backend scoring)'!$A$2:$A$333,"")</f>
        <v>AILM-02</v>
      </c>
      <c r="C110" s="210" t="str">
        <f>IFERROR(VLOOKUP($B110,'Institution Evaluation'!$A$55:$F$346,2,0),IFERROR(VLOOKUP($B110,'Privacy Analyst Evaluation'!$A$46:$F$120,2,0),""))&amp;""</f>
        <v>Is your LLM training data vetted, validated, and verified before training the solution's AI model?*</v>
      </c>
      <c r="D110" s="210" t="str">
        <f>IFERROR(VLOOKUP($B110,'Institution Evaluation'!$A$55:$F$346,3,0),IFERROR(VLOOKUP($B110,'Privacy Analyst Evaluation'!$A$46:$F$120,3,0),""))&amp;""</f>
        <v/>
      </c>
      <c r="E110" s="210" t="str">
        <f>IFERROR(VLOOKUP($B110,'Institution Evaluation'!$A$55:$F$346,4,0),IFERROR(VLOOKUP($B110,'Privacy Analyst Evaluation'!$A$46:$F$120,4,0),""))&amp;""</f>
        <v>This question does not apply.</v>
      </c>
      <c r="F110" s="210" t="str">
        <f>IFERROR(VLOOKUP($B110,'Institution Evaluation'!$A$55:$F$346,6,0),IFERROR(VLOOKUP($B110,'Privacy Analyst Evaluation'!$A$46:$F$120,6,0),""))&amp;""</f>
        <v/>
      </c>
      <c r="G110" s="211"/>
      <c r="H110" s="210" t="str">
        <f>IFERROR(IF($H109+1&gt;'(backend scoring)'!$Q$335,"",$H109+1),"")</f>
        <v/>
      </c>
      <c r="I110" s="210" t="str">
        <f>_xlfn.XLOOKUP($H110,'(backend scoring)'!$S$2:$S$333,'(backend scoring)'!$A$2:$A$333,"")</f>
        <v/>
      </c>
      <c r="J110" s="210" t="str">
        <f>IFERROR(VLOOKUP($I110,'Institution Evaluation'!$A$55:$F$346,2,0),IFERROR(VLOOKUP($I110,'Privacy Analyst Evaluation'!$A$46:$F$120,2,0),""))</f>
        <v/>
      </c>
      <c r="K110" s="210" t="str">
        <f>IFERROR(VLOOKUP($I110,'Institution Evaluation'!$A$55:$F$346,3,0),IFERROR(VLOOKUP($I110,'Privacy Analyst Evaluation'!$A$46:$F$120,3,0),""))&amp;""</f>
        <v/>
      </c>
      <c r="L110" s="210" t="str">
        <f>IFERROR(VLOOKUP($I110,'Institution Evaluation'!$A$55:$F$346,4,0),IFERROR(VLOOKUP($I110,'Privacy Analyst Evaluation'!$A$46:$F$120,4,0),""))&amp;""</f>
        <v/>
      </c>
      <c r="M110" s="210"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60" x14ac:dyDescent="0.2">
      <c r="A111" s="210">
        <f>IFERROR(IF($A110+1&gt;'(backend scoring)'!$T$335,"",$A110+1),"")</f>
        <v>87</v>
      </c>
      <c r="B111" s="210" t="str">
        <f>_xlfn.XLOOKUP($A111,'(backend scoring)'!$V$2:$V$333,'(backend scoring)'!$A$2:$A$333,"")</f>
        <v>AILM-03</v>
      </c>
      <c r="C111" s="210" t="str">
        <f>IFERROR(VLOOKUP($B111,'Institution Evaluation'!$A$55:$F$346,2,0),IFERROR(VLOOKUP($B111,'Privacy Analyst Evaluation'!$A$46:$F$120,2,0),""))&amp;""</f>
        <v>Do any actions taken by your solution's LLM features or plugins require human intervention?*</v>
      </c>
      <c r="D111" s="210" t="str">
        <f>IFERROR(VLOOKUP($B111,'Institution Evaluation'!$A$55:$F$346,3,0),IFERROR(VLOOKUP($B111,'Privacy Analyst Evaluation'!$A$46:$F$120,3,0),""))&amp;""</f>
        <v/>
      </c>
      <c r="E111" s="210" t="str">
        <f>IFERROR(VLOOKUP($B111,'Institution Evaluation'!$A$55:$F$346,4,0),IFERROR(VLOOKUP($B111,'Privacy Analyst Evaluation'!$A$46:$F$120,4,0),""))&amp;""</f>
        <v>This question does not apply.</v>
      </c>
      <c r="F111" s="210" t="str">
        <f>IFERROR(VLOOKUP($B111,'Institution Evaluation'!$A$55:$F$346,6,0),IFERROR(VLOOKUP($B111,'Privacy Analyst Evaluation'!$A$46:$F$120,6,0),""))&amp;""</f>
        <v/>
      </c>
      <c r="G111" s="211"/>
      <c r="H111" s="210" t="str">
        <f>IFERROR(IF($H110+1&gt;'(backend scoring)'!$Q$335,"",$H110+1),"")</f>
        <v/>
      </c>
      <c r="I111" s="210" t="str">
        <f>_xlfn.XLOOKUP($H111,'(backend scoring)'!$S$2:$S$333,'(backend scoring)'!$A$2:$A$333,"")</f>
        <v/>
      </c>
      <c r="J111" s="210" t="str">
        <f>IFERROR(VLOOKUP($I111,'Institution Evaluation'!$A$55:$F$346,2,0),IFERROR(VLOOKUP($I111,'Privacy Analyst Evaluation'!$A$46:$F$120,2,0),""))</f>
        <v/>
      </c>
      <c r="K111" s="210" t="str">
        <f>IFERROR(VLOOKUP($I111,'Institution Evaluation'!$A$55:$F$346,3,0),IFERROR(VLOOKUP($I111,'Privacy Analyst Evaluation'!$A$46:$F$120,3,0),""))&amp;""</f>
        <v/>
      </c>
      <c r="L111" s="210" t="str">
        <f>IFERROR(VLOOKUP($I111,'Institution Evaluation'!$A$55:$F$346,4,0),IFERROR(VLOOKUP($I111,'Privacy Analyst Evaluation'!$A$46:$F$120,4,0),""))&amp;""</f>
        <v/>
      </c>
      <c r="M111" s="210"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5" x14ac:dyDescent="0.2">
      <c r="A112" s="210">
        <f>IFERROR(IF($A111+1&gt;'(backend scoring)'!$T$335,"",$A111+1),"")</f>
        <v>88</v>
      </c>
      <c r="B112" s="210" t="str">
        <f>_xlfn.XLOOKUP($A112,'(backend scoring)'!$V$2:$V$333,'(backend scoring)'!$A$2:$A$333,"")</f>
        <v>AILM-04</v>
      </c>
      <c r="C112" s="210" t="str">
        <f>IFERROR(VLOOKUP($B112,'Institution Evaluation'!$A$55:$F$346,2,0),IFERROR(VLOOKUP($B112,'Privacy Analyst Evaluation'!$A$46:$F$120,2,0),""))&amp;""</f>
        <v>Do you limit multiple LLM model plugins being called as part of a single input?*</v>
      </c>
      <c r="D112" s="210" t="str">
        <f>IFERROR(VLOOKUP($B112,'Institution Evaluation'!$A$55:$F$346,3,0),IFERROR(VLOOKUP($B112,'Privacy Analyst Evaluation'!$A$46:$F$120,3,0),""))&amp;""</f>
        <v/>
      </c>
      <c r="E112" s="210" t="str">
        <f>IFERROR(VLOOKUP($B112,'Institution Evaluation'!$A$55:$F$346,4,0),IFERROR(VLOOKUP($B112,'Privacy Analyst Evaluation'!$A$46:$F$120,4,0),""))&amp;""</f>
        <v>This question does not apply.</v>
      </c>
      <c r="F112" s="210" t="str">
        <f>IFERROR(VLOOKUP($B112,'Institution Evaluation'!$A$55:$F$346,6,0),IFERROR(VLOOKUP($B112,'Privacy Analyst Evaluation'!$A$46:$F$120,6,0),""))&amp;""</f>
        <v/>
      </c>
      <c r="G112" s="211"/>
      <c r="H112" s="210" t="str">
        <f>IFERROR(IF($H111+1&gt;'(backend scoring)'!$Q$335,"",$H111+1),"")</f>
        <v/>
      </c>
      <c r="I112" s="210" t="str">
        <f>_xlfn.XLOOKUP($H112,'(backend scoring)'!$S$2:$S$333,'(backend scoring)'!$A$2:$A$333,"")</f>
        <v/>
      </c>
      <c r="J112" s="210" t="str">
        <f>IFERROR(VLOOKUP($I112,'Institution Evaluation'!$A$55:$F$346,2,0),IFERROR(VLOOKUP($I112,'Privacy Analyst Evaluation'!$A$46:$F$120,2,0),""))</f>
        <v/>
      </c>
      <c r="K112" s="210" t="str">
        <f>IFERROR(VLOOKUP($I112,'Institution Evaluation'!$A$55:$F$346,3,0),IFERROR(VLOOKUP($I112,'Privacy Analyst Evaluation'!$A$46:$F$120,3,0),""))&amp;""</f>
        <v/>
      </c>
      <c r="L112" s="210" t="str">
        <f>IFERROR(VLOOKUP($I112,'Institution Evaluation'!$A$55:$F$346,4,0),IFERROR(VLOOKUP($I112,'Privacy Analyst Evaluation'!$A$46:$F$120,4,0),""))&amp;""</f>
        <v/>
      </c>
      <c r="M112" s="210"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2">
      <c r="A113" s="210" t="str">
        <f>IFERROR(IF($A112+1&gt;'(backend scoring)'!$T$335,"",$A112+1),"")</f>
        <v/>
      </c>
      <c r="B113" s="210" t="str">
        <f>_xlfn.XLOOKUP($A113,'(backend scoring)'!$V$2:$V$333,'(backend scoring)'!$A$2:$A$333,"")</f>
        <v/>
      </c>
      <c r="C113" s="210" t="str">
        <f>IFERROR(VLOOKUP($B113,'Institution Evaluation'!$A$55:$F$346,2,0),IFERROR(VLOOKUP($B113,'Privacy Analyst Evaluation'!$A$46:$F$120,2,0),""))&amp;""</f>
        <v/>
      </c>
      <c r="D113" s="210" t="str">
        <f>IFERROR(VLOOKUP($B113,'Institution Evaluation'!$A$55:$F$346,3,0),IFERROR(VLOOKUP($B113,'Privacy Analyst Evaluation'!$A$46:$F$120,3,0),""))&amp;""</f>
        <v/>
      </c>
      <c r="E113" s="210" t="str">
        <f>IFERROR(VLOOKUP($B113,'Institution Evaluation'!$A$55:$F$346,4,0),IFERROR(VLOOKUP($B113,'Privacy Analyst Evaluation'!$A$46:$F$120,4,0),""))&amp;""</f>
        <v/>
      </c>
      <c r="F113" s="210" t="str">
        <f>IFERROR(VLOOKUP($B113,'Institution Evaluation'!$A$55:$F$346,6,0),IFERROR(VLOOKUP($B113,'Privacy Analyst Evaluation'!$A$46:$F$120,6,0),""))&amp;""</f>
        <v/>
      </c>
      <c r="G113" s="211"/>
      <c r="H113" s="210" t="str">
        <f>IFERROR(IF($H112+1&gt;'(backend scoring)'!$Q$335,"",$H112+1),"")</f>
        <v/>
      </c>
      <c r="I113" s="210" t="str">
        <f>_xlfn.XLOOKUP($H113,'(backend scoring)'!$S$2:$S$333,'(backend scoring)'!$A$2:$A$333,"")</f>
        <v/>
      </c>
      <c r="J113" s="210" t="str">
        <f>IFERROR(VLOOKUP($I113,'Institution Evaluation'!$A$55:$F$346,2,0),IFERROR(VLOOKUP($I113,'Privacy Analyst Evaluation'!$A$46:$F$120,2,0),""))</f>
        <v/>
      </c>
      <c r="K113" s="210" t="str">
        <f>IFERROR(VLOOKUP($I113,'Institution Evaluation'!$A$55:$F$346,3,0),IFERROR(VLOOKUP($I113,'Privacy Analyst Evaluation'!$A$46:$F$120,3,0),""))&amp;""</f>
        <v/>
      </c>
      <c r="L113" s="210" t="str">
        <f>IFERROR(VLOOKUP($I113,'Institution Evaluation'!$A$55:$F$346,4,0),IFERROR(VLOOKUP($I113,'Privacy Analyst Evaluation'!$A$46:$F$120,4,0),""))&amp;""</f>
        <v/>
      </c>
      <c r="M113" s="210"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2">
      <c r="A114" s="210" t="str">
        <f>IFERROR(IF($A113+1&gt;'(backend scoring)'!$T$335,"",$A113+1),"")</f>
        <v/>
      </c>
      <c r="B114" s="210" t="str">
        <f>_xlfn.XLOOKUP($A114,'(backend scoring)'!$V$2:$V$333,'(backend scoring)'!$A$2:$A$333,"")</f>
        <v/>
      </c>
      <c r="C114" s="210" t="str">
        <f>IFERROR(VLOOKUP($B114,'Institution Evaluation'!$A$55:$F$346,2,0),IFERROR(VLOOKUP($B114,'Privacy Analyst Evaluation'!$A$46:$F$120,2,0),""))&amp;""</f>
        <v/>
      </c>
      <c r="D114" s="210" t="str">
        <f>IFERROR(VLOOKUP($B114,'Institution Evaluation'!$A$55:$F$346,3,0),IFERROR(VLOOKUP($B114,'Privacy Analyst Evaluation'!$A$46:$F$120,3,0),""))&amp;""</f>
        <v/>
      </c>
      <c r="E114" s="210" t="str">
        <f>IFERROR(VLOOKUP($B114,'Institution Evaluation'!$A$55:$F$346,4,0),IFERROR(VLOOKUP($B114,'Privacy Analyst Evaluation'!$A$46:$F$120,4,0),""))&amp;""</f>
        <v/>
      </c>
      <c r="F114" s="210" t="str">
        <f>IFERROR(VLOOKUP($B114,'Institution Evaluation'!$A$55:$F$346,6,0),IFERROR(VLOOKUP($B114,'Privacy Analyst Evaluation'!$A$46:$F$120,6,0),""))&amp;""</f>
        <v/>
      </c>
      <c r="G114" s="211"/>
      <c r="H114" s="210" t="str">
        <f>IFERROR(IF($H113+1&gt;'(backend scoring)'!$Q$335,"",$H113+1),"")</f>
        <v/>
      </c>
      <c r="I114" s="210" t="str">
        <f>_xlfn.XLOOKUP($H114,'(backend scoring)'!$S$2:$S$333,'(backend scoring)'!$A$2:$A$333,"")</f>
        <v/>
      </c>
      <c r="J114" s="210" t="str">
        <f>IFERROR(VLOOKUP($I114,'Institution Evaluation'!$A$55:$F$346,2,0),IFERROR(VLOOKUP($I114,'Privacy Analyst Evaluation'!$A$46:$F$120,2,0),""))</f>
        <v/>
      </c>
      <c r="K114" s="210" t="str">
        <f>IFERROR(VLOOKUP($I114,'Institution Evaluation'!$A$55:$F$346,3,0),IFERROR(VLOOKUP($I114,'Privacy Analyst Evaluation'!$A$46:$F$120,3,0),""))&amp;""</f>
        <v/>
      </c>
      <c r="L114" s="210" t="str">
        <f>IFERROR(VLOOKUP($I114,'Institution Evaluation'!$A$55:$F$346,4,0),IFERROR(VLOOKUP($I114,'Privacy Analyst Evaluation'!$A$46:$F$120,4,0),""))&amp;""</f>
        <v/>
      </c>
      <c r="M114" s="210"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2">
      <c r="A115" s="210" t="str">
        <f>IFERROR(IF($A114+1&gt;'(backend scoring)'!$T$335,"",$A114+1),"")</f>
        <v/>
      </c>
      <c r="B115" s="210" t="str">
        <f>_xlfn.XLOOKUP($A115,'(backend scoring)'!$V$2:$V$333,'(backend scoring)'!$A$2:$A$333,"")</f>
        <v/>
      </c>
      <c r="C115" s="210" t="str">
        <f>IFERROR(VLOOKUP($B115,'Institution Evaluation'!$A$55:$F$346,2,0),IFERROR(VLOOKUP($B115,'Privacy Analyst Evaluation'!$A$46:$F$120,2,0),""))&amp;""</f>
        <v/>
      </c>
      <c r="D115" s="210" t="str">
        <f>IFERROR(VLOOKUP($B115,'Institution Evaluation'!$A$55:$F$346,3,0),IFERROR(VLOOKUP($B115,'Privacy Analyst Evaluation'!$A$46:$F$120,3,0),""))&amp;""</f>
        <v/>
      </c>
      <c r="E115" s="210" t="str">
        <f>IFERROR(VLOOKUP($B115,'Institution Evaluation'!$A$55:$F$346,4,0),IFERROR(VLOOKUP($B115,'Privacy Analyst Evaluation'!$A$46:$F$120,4,0),""))&amp;""</f>
        <v/>
      </c>
      <c r="F115" s="210" t="str">
        <f>IFERROR(VLOOKUP($B115,'Institution Evaluation'!$A$55:$F$346,6,0),IFERROR(VLOOKUP($B115,'Privacy Analyst Evaluation'!$A$46:$F$120,6,0),""))&amp;""</f>
        <v/>
      </c>
      <c r="G115" s="211"/>
      <c r="H115" s="210" t="str">
        <f>IFERROR(IF($H114+1&gt;'(backend scoring)'!$Q$335,"",$H114+1),"")</f>
        <v/>
      </c>
      <c r="I115" s="210" t="str">
        <f>_xlfn.XLOOKUP($H115,'(backend scoring)'!$S$2:$S$333,'(backend scoring)'!$A$2:$A$333,"")</f>
        <v/>
      </c>
      <c r="J115" s="210" t="str">
        <f>IFERROR(VLOOKUP($I115,'Institution Evaluation'!$A$55:$F$346,2,0),IFERROR(VLOOKUP($I115,'Privacy Analyst Evaluation'!$A$46:$F$120,2,0),""))</f>
        <v/>
      </c>
      <c r="K115" s="210" t="str">
        <f>IFERROR(VLOOKUP($I115,'Institution Evaluation'!$A$55:$F$346,3,0),IFERROR(VLOOKUP($I115,'Privacy Analyst Evaluation'!$A$46:$F$120,3,0),""))&amp;""</f>
        <v/>
      </c>
      <c r="L115" s="210" t="str">
        <f>IFERROR(VLOOKUP($I115,'Institution Evaluation'!$A$55:$F$346,4,0),IFERROR(VLOOKUP($I115,'Privacy Analyst Evaluation'!$A$46:$F$120,4,0),""))&amp;""</f>
        <v/>
      </c>
      <c r="M115" s="210"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2">
      <c r="A116" s="210" t="str">
        <f>IFERROR(IF($A115+1&gt;'(backend scoring)'!$T$335,"",$A115+1),"")</f>
        <v/>
      </c>
      <c r="B116" s="210" t="str">
        <f>_xlfn.XLOOKUP($A116,'(backend scoring)'!$V$2:$V$333,'(backend scoring)'!$A$2:$A$333,"")</f>
        <v/>
      </c>
      <c r="C116" s="210" t="str">
        <f>IFERROR(VLOOKUP($B116,'Institution Evaluation'!$A$55:$F$346,2,0),IFERROR(VLOOKUP($B116,'Privacy Analyst Evaluation'!$A$46:$F$120,2,0),""))&amp;""</f>
        <v/>
      </c>
      <c r="D116" s="210" t="str">
        <f>IFERROR(VLOOKUP($B116,'Institution Evaluation'!$A$55:$F$346,3,0),IFERROR(VLOOKUP($B116,'Privacy Analyst Evaluation'!$A$46:$F$120,3,0),""))&amp;""</f>
        <v/>
      </c>
      <c r="E116" s="210" t="str">
        <f>IFERROR(VLOOKUP($B116,'Institution Evaluation'!$A$55:$F$346,4,0),IFERROR(VLOOKUP($B116,'Privacy Analyst Evaluation'!$A$46:$F$120,4,0),""))&amp;""</f>
        <v/>
      </c>
      <c r="F116" s="210" t="str">
        <f>IFERROR(VLOOKUP($B116,'Institution Evaluation'!$A$55:$F$346,6,0),IFERROR(VLOOKUP($B116,'Privacy Analyst Evaluation'!$A$46:$F$120,6,0),""))&amp;""</f>
        <v/>
      </c>
      <c r="G116" s="211"/>
      <c r="H116" s="210" t="str">
        <f>IFERROR(IF($H115+1&gt;'(backend scoring)'!$Q$335,"",$H115+1),"")</f>
        <v/>
      </c>
      <c r="I116" s="210" t="str">
        <f>_xlfn.XLOOKUP($H116,'(backend scoring)'!$S$2:$S$333,'(backend scoring)'!$A$2:$A$333,"")</f>
        <v/>
      </c>
      <c r="J116" s="210" t="str">
        <f>IFERROR(VLOOKUP($I116,'Institution Evaluation'!$A$55:$F$346,2,0),IFERROR(VLOOKUP($I116,'Privacy Analyst Evaluation'!$A$46:$F$120,2,0),""))</f>
        <v/>
      </c>
      <c r="K116" s="210" t="str">
        <f>IFERROR(VLOOKUP($I116,'Institution Evaluation'!$A$55:$F$346,3,0),IFERROR(VLOOKUP($I116,'Privacy Analyst Evaluation'!$A$46:$F$120,3,0),""))&amp;""</f>
        <v/>
      </c>
      <c r="L116" s="210" t="str">
        <f>IFERROR(VLOOKUP($I116,'Institution Evaluation'!$A$55:$F$346,4,0),IFERROR(VLOOKUP($I116,'Privacy Analyst Evaluation'!$A$46:$F$120,4,0),""))&amp;""</f>
        <v/>
      </c>
      <c r="M116" s="210"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2">
      <c r="A117" s="210" t="str">
        <f>IFERROR(IF($A116+1&gt;'(backend scoring)'!$T$335,"",$A116+1),"")</f>
        <v/>
      </c>
      <c r="B117" s="210" t="str">
        <f>_xlfn.XLOOKUP($A117,'(backend scoring)'!$V$2:$V$333,'(backend scoring)'!$A$2:$A$333,"")</f>
        <v/>
      </c>
      <c r="C117" s="210" t="str">
        <f>IFERROR(VLOOKUP($B117,'Institution Evaluation'!$A$55:$F$346,2,0),IFERROR(VLOOKUP($B117,'Privacy Analyst Evaluation'!$A$46:$F$120,2,0),""))&amp;""</f>
        <v/>
      </c>
      <c r="D117" s="210" t="str">
        <f>IFERROR(VLOOKUP($B117,'Institution Evaluation'!$A$55:$F$346,3,0),IFERROR(VLOOKUP($B117,'Privacy Analyst Evaluation'!$A$46:$F$120,3,0),""))&amp;""</f>
        <v/>
      </c>
      <c r="E117" s="210" t="str">
        <f>IFERROR(VLOOKUP($B117,'Institution Evaluation'!$A$55:$F$346,4,0),IFERROR(VLOOKUP($B117,'Privacy Analyst Evaluation'!$A$46:$F$120,4,0),""))&amp;""</f>
        <v/>
      </c>
      <c r="F117" s="210" t="str">
        <f>IFERROR(VLOOKUP($B117,'Institution Evaluation'!$A$55:$F$346,6,0),IFERROR(VLOOKUP($B117,'Privacy Analyst Evaluation'!$A$46:$F$120,6,0),""))&amp;""</f>
        <v/>
      </c>
      <c r="G117" s="211"/>
      <c r="H117" s="210" t="str">
        <f>IFERROR(IF($H116+1&gt;'(backend scoring)'!$Q$335,"",$H116+1),"")</f>
        <v/>
      </c>
      <c r="I117" s="210" t="str">
        <f>_xlfn.XLOOKUP($H117,'(backend scoring)'!$S$2:$S$333,'(backend scoring)'!$A$2:$A$333,"")</f>
        <v/>
      </c>
      <c r="J117" s="210" t="str">
        <f>IFERROR(VLOOKUP($I117,'Institution Evaluation'!$A$55:$F$346,2,0),IFERROR(VLOOKUP($I117,'Privacy Analyst Evaluation'!$A$46:$F$120,2,0),""))</f>
        <v/>
      </c>
      <c r="K117" s="210" t="str">
        <f>IFERROR(VLOOKUP($I117,'Institution Evaluation'!$A$55:$F$346,3,0),IFERROR(VLOOKUP($I117,'Privacy Analyst Evaluation'!$A$46:$F$120,3,0),""))&amp;""</f>
        <v/>
      </c>
      <c r="L117" s="210" t="str">
        <f>IFERROR(VLOOKUP($I117,'Institution Evaluation'!$A$55:$F$346,4,0),IFERROR(VLOOKUP($I117,'Privacy Analyst Evaluation'!$A$46:$F$120,4,0),""))&amp;""</f>
        <v/>
      </c>
      <c r="M117" s="210"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2">
      <c r="A118" s="210" t="str">
        <f>IFERROR(IF($A117+1&gt;'(backend scoring)'!$T$335,"",$A117+1),"")</f>
        <v/>
      </c>
      <c r="B118" s="210" t="str">
        <f>_xlfn.XLOOKUP($A118,'(backend scoring)'!$V$2:$V$333,'(backend scoring)'!$A$2:$A$333,"")</f>
        <v/>
      </c>
      <c r="C118" s="210" t="str">
        <f>IFERROR(VLOOKUP($B118,'Institution Evaluation'!$A$55:$F$346,2,0),IFERROR(VLOOKUP($B118,'Privacy Analyst Evaluation'!$A$46:$F$120,2,0),""))&amp;""</f>
        <v/>
      </c>
      <c r="D118" s="210" t="str">
        <f>IFERROR(VLOOKUP($B118,'Institution Evaluation'!$A$55:$F$346,3,0),IFERROR(VLOOKUP($B118,'Privacy Analyst Evaluation'!$A$46:$F$120,3,0),""))&amp;""</f>
        <v/>
      </c>
      <c r="E118" s="210" t="str">
        <f>IFERROR(VLOOKUP($B118,'Institution Evaluation'!$A$55:$F$346,4,0),IFERROR(VLOOKUP($B118,'Privacy Analyst Evaluation'!$A$46:$F$120,4,0),""))&amp;""</f>
        <v/>
      </c>
      <c r="F118" s="210" t="str">
        <f>IFERROR(VLOOKUP($B118,'Institution Evaluation'!$A$55:$F$346,6,0),IFERROR(VLOOKUP($B118,'Privacy Analyst Evaluation'!$A$46:$F$120,6,0),""))&amp;""</f>
        <v/>
      </c>
      <c r="G118" s="211"/>
      <c r="H118" s="210" t="str">
        <f>IFERROR(IF($H117+1&gt;'(backend scoring)'!$Q$335,"",$H117+1),"")</f>
        <v/>
      </c>
      <c r="I118" s="210" t="str">
        <f>_xlfn.XLOOKUP($H118,'(backend scoring)'!$S$2:$S$333,'(backend scoring)'!$A$2:$A$333,"")</f>
        <v/>
      </c>
      <c r="J118" s="210" t="str">
        <f>IFERROR(VLOOKUP($I118,'Institution Evaluation'!$A$55:$F$346,2,0),IFERROR(VLOOKUP($I118,'Privacy Analyst Evaluation'!$A$46:$F$120,2,0),""))</f>
        <v/>
      </c>
      <c r="K118" s="210" t="str">
        <f>IFERROR(VLOOKUP($I118,'Institution Evaluation'!$A$55:$F$346,3,0),IFERROR(VLOOKUP($I118,'Privacy Analyst Evaluation'!$A$46:$F$120,3,0),""))&amp;""</f>
        <v/>
      </c>
      <c r="L118" s="210" t="str">
        <f>IFERROR(VLOOKUP($I118,'Institution Evaluation'!$A$55:$F$346,4,0),IFERROR(VLOOKUP($I118,'Privacy Analyst Evaluation'!$A$46:$F$120,4,0),""))&amp;""</f>
        <v/>
      </c>
      <c r="M118" s="210"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2">
      <c r="A119" s="210" t="str">
        <f>IFERROR(IF($A118+1&gt;'(backend scoring)'!$T$335,"",$A118+1),"")</f>
        <v/>
      </c>
      <c r="B119" s="210" t="str">
        <f>_xlfn.XLOOKUP($A119,'(backend scoring)'!$V$2:$V$333,'(backend scoring)'!$A$2:$A$333,"")</f>
        <v/>
      </c>
      <c r="C119" s="210" t="str">
        <f>IFERROR(VLOOKUP($B119,'Institution Evaluation'!$A$55:$F$346,2,0),IFERROR(VLOOKUP($B119,'Privacy Analyst Evaluation'!$A$46:$F$120,2,0),""))&amp;""</f>
        <v/>
      </c>
      <c r="D119" s="210" t="str">
        <f>IFERROR(VLOOKUP($B119,'Institution Evaluation'!$A$55:$F$346,3,0),IFERROR(VLOOKUP($B119,'Privacy Analyst Evaluation'!$A$46:$F$120,3,0),""))&amp;""</f>
        <v/>
      </c>
      <c r="E119" s="210" t="str">
        <f>IFERROR(VLOOKUP($B119,'Institution Evaluation'!$A$55:$F$346,4,0),IFERROR(VLOOKUP($B119,'Privacy Analyst Evaluation'!$A$46:$F$120,4,0),""))&amp;""</f>
        <v/>
      </c>
      <c r="F119" s="210" t="str">
        <f>IFERROR(VLOOKUP($B119,'Institution Evaluation'!$A$55:$F$346,6,0),IFERROR(VLOOKUP($B119,'Privacy Analyst Evaluation'!$A$46:$F$120,6,0),""))&amp;""</f>
        <v/>
      </c>
      <c r="G119" s="211"/>
      <c r="H119" s="210" t="str">
        <f>IFERROR(IF($H118+1&gt;'(backend scoring)'!$Q$335,"",$H118+1),"")</f>
        <v/>
      </c>
      <c r="I119" s="210" t="str">
        <f>_xlfn.XLOOKUP($H119,'(backend scoring)'!$S$2:$S$333,'(backend scoring)'!$A$2:$A$333,"")</f>
        <v/>
      </c>
      <c r="J119" s="210" t="str">
        <f>IFERROR(VLOOKUP($I119,'Institution Evaluation'!$A$55:$F$346,2,0),IFERROR(VLOOKUP($I119,'Privacy Analyst Evaluation'!$A$46:$F$120,2,0),""))</f>
        <v/>
      </c>
      <c r="K119" s="210" t="str">
        <f>IFERROR(VLOOKUP($I119,'Institution Evaluation'!$A$55:$F$346,3,0),IFERROR(VLOOKUP($I119,'Privacy Analyst Evaluation'!$A$46:$F$120,3,0),""))&amp;""</f>
        <v/>
      </c>
      <c r="L119" s="210" t="str">
        <f>IFERROR(VLOOKUP($I119,'Institution Evaluation'!$A$55:$F$346,4,0),IFERROR(VLOOKUP($I119,'Privacy Analyst Evaluation'!$A$46:$F$120,4,0),""))&amp;""</f>
        <v/>
      </c>
      <c r="M119" s="210"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2">
      <c r="A120" s="210" t="str">
        <f>IFERROR(IF($A119+1&gt;'(backend scoring)'!$T$335,"",$A119+1),"")</f>
        <v/>
      </c>
      <c r="B120" s="210" t="str">
        <f>_xlfn.XLOOKUP($A120,'(backend scoring)'!$V$2:$V$333,'(backend scoring)'!$A$2:$A$333,"")</f>
        <v/>
      </c>
      <c r="C120" s="210" t="str">
        <f>IFERROR(VLOOKUP($B120,'Institution Evaluation'!$A$55:$F$346,2,0),IFERROR(VLOOKUP($B120,'Privacy Analyst Evaluation'!$A$46:$F$120,2,0),""))&amp;""</f>
        <v/>
      </c>
      <c r="D120" s="210" t="str">
        <f>IFERROR(VLOOKUP($B120,'Institution Evaluation'!$A$55:$F$346,3,0),IFERROR(VLOOKUP($B120,'Privacy Analyst Evaluation'!$A$46:$F$120,3,0),""))&amp;""</f>
        <v/>
      </c>
      <c r="E120" s="210" t="str">
        <f>IFERROR(VLOOKUP($B120,'Institution Evaluation'!$A$55:$F$346,4,0),IFERROR(VLOOKUP($B120,'Privacy Analyst Evaluation'!$A$46:$F$120,4,0),""))&amp;""</f>
        <v/>
      </c>
      <c r="F120" s="210" t="str">
        <f>IFERROR(VLOOKUP($B120,'Institution Evaluation'!$A$55:$F$346,6,0),IFERROR(VLOOKUP($B120,'Privacy Analyst Evaluation'!$A$46:$F$120,6,0),""))&amp;""</f>
        <v/>
      </c>
      <c r="G120" s="211"/>
      <c r="H120" s="210" t="str">
        <f>IFERROR(IF($H119+1&gt;'(backend scoring)'!$Q$335,"",$H119+1),"")</f>
        <v/>
      </c>
      <c r="I120" s="210" t="str">
        <f>_xlfn.XLOOKUP($H120,'(backend scoring)'!$S$2:$S$333,'(backend scoring)'!$A$2:$A$333,"")</f>
        <v/>
      </c>
      <c r="J120" s="210" t="str">
        <f>IFERROR(VLOOKUP($I120,'Institution Evaluation'!$A$55:$F$346,2,0),IFERROR(VLOOKUP($I120,'Privacy Analyst Evaluation'!$A$46:$F$120,2,0),""))</f>
        <v/>
      </c>
      <c r="K120" s="210" t="str">
        <f>IFERROR(VLOOKUP($I120,'Institution Evaluation'!$A$55:$F$346,3,0),IFERROR(VLOOKUP($I120,'Privacy Analyst Evaluation'!$A$46:$F$120,3,0),""))&amp;""</f>
        <v/>
      </c>
      <c r="L120" s="210" t="str">
        <f>IFERROR(VLOOKUP($I120,'Institution Evaluation'!$A$55:$F$346,4,0),IFERROR(VLOOKUP($I120,'Privacy Analyst Evaluation'!$A$46:$F$120,4,0),""))&amp;""</f>
        <v/>
      </c>
      <c r="M120" s="210"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2">
      <c r="A121" s="210" t="str">
        <f>IFERROR(IF($A120+1&gt;'(backend scoring)'!$T$335,"",$A120+1),"")</f>
        <v/>
      </c>
      <c r="B121" s="210" t="str">
        <f>_xlfn.XLOOKUP($A121,'(backend scoring)'!$V$2:$V$333,'(backend scoring)'!$A$2:$A$333,"")</f>
        <v/>
      </c>
      <c r="C121" s="210" t="str">
        <f>IFERROR(VLOOKUP($B121,'Institution Evaluation'!$A$55:$F$346,2,0),IFERROR(VLOOKUP($B121,'Privacy Analyst Evaluation'!$A$46:$F$120,2,0),""))&amp;""</f>
        <v/>
      </c>
      <c r="D121" s="210" t="str">
        <f>IFERROR(VLOOKUP($B121,'Institution Evaluation'!$A$55:$F$346,3,0),IFERROR(VLOOKUP($B121,'Privacy Analyst Evaluation'!$A$46:$F$120,3,0),""))&amp;""</f>
        <v/>
      </c>
      <c r="E121" s="210" t="str">
        <f>IFERROR(VLOOKUP($B121,'Institution Evaluation'!$A$55:$F$346,4,0),IFERROR(VLOOKUP($B121,'Privacy Analyst Evaluation'!$A$46:$F$120,4,0),""))&amp;""</f>
        <v/>
      </c>
      <c r="F121" s="210" t="str">
        <f>IFERROR(VLOOKUP($B121,'Institution Evaluation'!$A$55:$F$346,6,0),IFERROR(VLOOKUP($B121,'Privacy Analyst Evaluation'!$A$46:$F$120,6,0),""))&amp;""</f>
        <v/>
      </c>
      <c r="G121" s="211"/>
      <c r="H121" s="210" t="str">
        <f>IFERROR(IF($H120+1&gt;'(backend scoring)'!$Q$335,"",$H120+1),"")</f>
        <v/>
      </c>
      <c r="I121" s="210" t="str">
        <f>_xlfn.XLOOKUP($H121,'(backend scoring)'!$S$2:$S$333,'(backend scoring)'!$A$2:$A$333,"")</f>
        <v/>
      </c>
      <c r="J121" s="210" t="str">
        <f>IFERROR(VLOOKUP($I121,'Institution Evaluation'!$A$55:$F$346,2,0),IFERROR(VLOOKUP($I121,'Privacy Analyst Evaluation'!$A$46:$F$120,2,0),""))</f>
        <v/>
      </c>
      <c r="K121" s="210" t="str">
        <f>IFERROR(VLOOKUP($I121,'Institution Evaluation'!$A$55:$F$346,3,0),IFERROR(VLOOKUP($I121,'Privacy Analyst Evaluation'!$A$46:$F$120,3,0),""))&amp;""</f>
        <v/>
      </c>
      <c r="L121" s="210" t="str">
        <f>IFERROR(VLOOKUP($I121,'Institution Evaluation'!$A$55:$F$346,4,0),IFERROR(VLOOKUP($I121,'Privacy Analyst Evaluation'!$A$46:$F$120,4,0),""))&amp;""</f>
        <v/>
      </c>
      <c r="M121" s="210"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2">
      <c r="A122" s="210" t="str">
        <f>IFERROR(IF($A121+1&gt;'(backend scoring)'!$T$335,"",$A121+1),"")</f>
        <v/>
      </c>
      <c r="B122" s="210" t="str">
        <f>_xlfn.XLOOKUP($A122,'(backend scoring)'!$V$2:$V$333,'(backend scoring)'!$A$2:$A$333,"")</f>
        <v/>
      </c>
      <c r="C122" s="210" t="str">
        <f>IFERROR(VLOOKUP($B122,'Institution Evaluation'!$A$55:$F$346,2,0),IFERROR(VLOOKUP($B122,'Privacy Analyst Evaluation'!$A$46:$F$120,2,0),""))&amp;""</f>
        <v/>
      </c>
      <c r="D122" s="210" t="str">
        <f>IFERROR(VLOOKUP($B122,'Institution Evaluation'!$A$55:$F$346,3,0),IFERROR(VLOOKUP($B122,'Privacy Analyst Evaluation'!$A$46:$F$120,3,0),""))&amp;""</f>
        <v/>
      </c>
      <c r="E122" s="210" t="str">
        <f>IFERROR(VLOOKUP($B122,'Institution Evaluation'!$A$55:$F$346,4,0),IFERROR(VLOOKUP($B122,'Privacy Analyst Evaluation'!$A$46:$F$120,4,0),""))&amp;""</f>
        <v/>
      </c>
      <c r="F122" s="210" t="str">
        <f>IFERROR(VLOOKUP($B122,'Institution Evaluation'!$A$55:$F$346,6,0),IFERROR(VLOOKUP($B122,'Privacy Analyst Evaluation'!$A$46:$F$120,6,0),""))&amp;""</f>
        <v/>
      </c>
      <c r="G122" s="211"/>
      <c r="H122" s="210" t="str">
        <f>IFERROR(IF($H121+1&gt;'(backend scoring)'!$Q$335,"",$H121+1),"")</f>
        <v/>
      </c>
      <c r="I122" s="210" t="str">
        <f>_xlfn.XLOOKUP($H122,'(backend scoring)'!$S$2:$S$333,'(backend scoring)'!$A$2:$A$333,"")</f>
        <v/>
      </c>
      <c r="J122" s="210" t="str">
        <f>IFERROR(VLOOKUP($I122,'Institution Evaluation'!$A$55:$F$346,2,0),IFERROR(VLOOKUP($I122,'Privacy Analyst Evaluation'!$A$46:$F$120,2,0),""))</f>
        <v/>
      </c>
      <c r="K122" s="210" t="str">
        <f>IFERROR(VLOOKUP($I122,'Institution Evaluation'!$A$55:$F$346,3,0),IFERROR(VLOOKUP($I122,'Privacy Analyst Evaluation'!$A$46:$F$120,3,0),""))&amp;""</f>
        <v/>
      </c>
      <c r="L122" s="210" t="str">
        <f>IFERROR(VLOOKUP($I122,'Institution Evaluation'!$A$55:$F$346,4,0),IFERROR(VLOOKUP($I122,'Privacy Analyst Evaluation'!$A$46:$F$120,4,0),""))&amp;""</f>
        <v/>
      </c>
      <c r="M122" s="210"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2">
      <c r="A123" s="210" t="str">
        <f>IFERROR(IF($A122+1&gt;'(backend scoring)'!$T$335,"",$A122+1),"")</f>
        <v/>
      </c>
      <c r="B123" s="210" t="str">
        <f>_xlfn.XLOOKUP($A123,'(backend scoring)'!$V$2:$V$333,'(backend scoring)'!$A$2:$A$333,"")</f>
        <v/>
      </c>
      <c r="C123" s="210" t="str">
        <f>IFERROR(VLOOKUP($B123,'Institution Evaluation'!$A$55:$F$346,2,0),IFERROR(VLOOKUP($B123,'Privacy Analyst Evaluation'!$A$46:$F$120,2,0),""))&amp;""</f>
        <v/>
      </c>
      <c r="D123" s="210" t="str">
        <f>IFERROR(VLOOKUP($B123,'Institution Evaluation'!$A$55:$F$346,3,0),IFERROR(VLOOKUP($B123,'Privacy Analyst Evaluation'!$A$46:$F$120,3,0),""))&amp;""</f>
        <v/>
      </c>
      <c r="E123" s="210" t="str">
        <f>IFERROR(VLOOKUP($B123,'Institution Evaluation'!$A$55:$F$346,4,0),IFERROR(VLOOKUP($B123,'Privacy Analyst Evaluation'!$A$46:$F$120,4,0),""))&amp;""</f>
        <v/>
      </c>
      <c r="F123" s="210" t="str">
        <f>IFERROR(VLOOKUP($B123,'Institution Evaluation'!$A$55:$F$346,6,0),IFERROR(VLOOKUP($B123,'Privacy Analyst Evaluation'!$A$46:$F$120,6,0),""))&amp;""</f>
        <v/>
      </c>
      <c r="G123" s="211"/>
      <c r="H123" s="210" t="str">
        <f>IFERROR(IF($H122+1&gt;'(backend scoring)'!$Q$335,"",$H122+1),"")</f>
        <v/>
      </c>
      <c r="I123" s="210" t="str">
        <f>_xlfn.XLOOKUP($H123,'(backend scoring)'!$S$2:$S$333,'(backend scoring)'!$A$2:$A$333,"")</f>
        <v/>
      </c>
      <c r="J123" s="210" t="str">
        <f>IFERROR(VLOOKUP($I123,'Institution Evaluation'!$A$55:$F$346,2,0),IFERROR(VLOOKUP($I123,'Privacy Analyst Evaluation'!$A$46:$F$120,2,0),""))</f>
        <v/>
      </c>
      <c r="K123" s="210" t="str">
        <f>IFERROR(VLOOKUP($I123,'Institution Evaluation'!$A$55:$F$346,3,0),IFERROR(VLOOKUP($I123,'Privacy Analyst Evaluation'!$A$46:$F$120,3,0),""))&amp;""</f>
        <v/>
      </c>
      <c r="L123" s="210" t="str">
        <f>IFERROR(VLOOKUP($I123,'Institution Evaluation'!$A$55:$F$346,4,0),IFERROR(VLOOKUP($I123,'Privacy Analyst Evaluation'!$A$46:$F$120,4,0),""))&amp;""</f>
        <v/>
      </c>
      <c r="M123" s="210"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2">
      <c r="A124" s="210" t="str">
        <f>IFERROR(IF($A123+1&gt;'(backend scoring)'!$T$335,"",$A123+1),"")</f>
        <v/>
      </c>
      <c r="B124" s="210" t="str">
        <f>_xlfn.XLOOKUP($A124,'(backend scoring)'!$V$2:$V$333,'(backend scoring)'!$A$2:$A$333,"")</f>
        <v/>
      </c>
      <c r="C124" s="210" t="str">
        <f>IFERROR(VLOOKUP($B124,'Institution Evaluation'!$A$55:$F$346,2,0),IFERROR(VLOOKUP($B124,'Privacy Analyst Evaluation'!$A$46:$F$120,2,0),""))&amp;""</f>
        <v/>
      </c>
      <c r="D124" s="210" t="str">
        <f>IFERROR(VLOOKUP($B124,'Institution Evaluation'!$A$55:$F$346,3,0),IFERROR(VLOOKUP($B124,'Privacy Analyst Evaluation'!$A$46:$F$120,3,0),""))&amp;""</f>
        <v/>
      </c>
      <c r="E124" s="210" t="str">
        <f>IFERROR(VLOOKUP($B124,'Institution Evaluation'!$A$55:$F$346,4,0),IFERROR(VLOOKUP($B124,'Privacy Analyst Evaluation'!$A$46:$F$120,4,0),""))&amp;""</f>
        <v/>
      </c>
      <c r="F124" s="210" t="str">
        <f>IFERROR(VLOOKUP($B124,'Institution Evaluation'!$A$55:$F$346,6,0),IFERROR(VLOOKUP($B124,'Privacy Analyst Evaluation'!$A$46:$F$120,6,0),""))&amp;""</f>
        <v/>
      </c>
      <c r="G124" s="211"/>
      <c r="H124" s="210" t="str">
        <f>IFERROR(IF($H123+1&gt;'(backend scoring)'!$Q$335,"",$H123+1),"")</f>
        <v/>
      </c>
      <c r="I124" s="210" t="str">
        <f>_xlfn.XLOOKUP($H124,'(backend scoring)'!$S$2:$S$333,'(backend scoring)'!$A$2:$A$333,"")</f>
        <v/>
      </c>
      <c r="J124" s="210" t="str">
        <f>IFERROR(VLOOKUP($I124,'Institution Evaluation'!$A$55:$F$346,2,0),IFERROR(VLOOKUP($I124,'Privacy Analyst Evaluation'!$A$46:$F$120,2,0),""))</f>
        <v/>
      </c>
      <c r="K124" s="210" t="str">
        <f>IFERROR(VLOOKUP($I124,'Institution Evaluation'!$A$55:$F$346,3,0),IFERROR(VLOOKUP($I124,'Privacy Analyst Evaluation'!$A$46:$F$120,3,0),""))&amp;""</f>
        <v/>
      </c>
      <c r="L124" s="210" t="str">
        <f>IFERROR(VLOOKUP($I124,'Institution Evaluation'!$A$55:$F$346,4,0),IFERROR(VLOOKUP($I124,'Privacy Analyst Evaluation'!$A$46:$F$120,4,0),""))&amp;""</f>
        <v/>
      </c>
      <c r="M124" s="210"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2">
      <c r="A125" s="210" t="str">
        <f>IFERROR(IF($A124+1&gt;'(backend scoring)'!$T$335,"",$A124+1),"")</f>
        <v/>
      </c>
      <c r="B125" s="210" t="str">
        <f>_xlfn.XLOOKUP($A125,'(backend scoring)'!$V$2:$V$333,'(backend scoring)'!$A$2:$A$333,"")</f>
        <v/>
      </c>
      <c r="C125" s="210" t="str">
        <f>IFERROR(VLOOKUP($B125,'Institution Evaluation'!$A$55:$F$346,2,0),IFERROR(VLOOKUP($B125,'Privacy Analyst Evaluation'!$A$46:$F$120,2,0),""))&amp;""</f>
        <v/>
      </c>
      <c r="D125" s="210" t="str">
        <f>IFERROR(VLOOKUP($B125,'Institution Evaluation'!$A$55:$F$346,3,0),IFERROR(VLOOKUP($B125,'Privacy Analyst Evaluation'!$A$46:$F$120,3,0),""))&amp;""</f>
        <v/>
      </c>
      <c r="E125" s="210" t="str">
        <f>IFERROR(VLOOKUP($B125,'Institution Evaluation'!$A$55:$F$346,4,0),IFERROR(VLOOKUP($B125,'Privacy Analyst Evaluation'!$A$46:$F$120,4,0),""))&amp;""</f>
        <v/>
      </c>
      <c r="F125" s="210" t="str">
        <f>IFERROR(VLOOKUP($B125,'Institution Evaluation'!$A$55:$F$346,6,0),IFERROR(VLOOKUP($B125,'Privacy Analyst Evaluation'!$A$46:$F$120,6,0),""))&amp;""</f>
        <v/>
      </c>
      <c r="G125" s="211"/>
      <c r="H125" s="210" t="str">
        <f>IFERROR(IF($H124+1&gt;'(backend scoring)'!$Q$335,"",$H124+1),"")</f>
        <v/>
      </c>
      <c r="I125" s="210" t="str">
        <f>_xlfn.XLOOKUP($H125,'(backend scoring)'!$S$2:$S$333,'(backend scoring)'!$A$2:$A$333,"")</f>
        <v/>
      </c>
      <c r="J125" s="210" t="str">
        <f>IFERROR(VLOOKUP($I125,'Institution Evaluation'!$A$55:$F$346,2,0),IFERROR(VLOOKUP($I125,'Privacy Analyst Evaluation'!$A$46:$F$120,2,0),""))</f>
        <v/>
      </c>
      <c r="K125" s="210" t="str">
        <f>IFERROR(VLOOKUP($I125,'Institution Evaluation'!$A$55:$F$346,3,0),IFERROR(VLOOKUP($I125,'Privacy Analyst Evaluation'!$A$46:$F$120,3,0),""))&amp;""</f>
        <v/>
      </c>
      <c r="L125" s="210" t="str">
        <f>IFERROR(VLOOKUP($I125,'Institution Evaluation'!$A$55:$F$346,4,0),IFERROR(VLOOKUP($I125,'Privacy Analyst Evaluation'!$A$46:$F$120,4,0),""))&amp;""</f>
        <v/>
      </c>
      <c r="M125" s="210"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2">
      <c r="A126" s="210" t="str">
        <f>IFERROR(IF($A125+1&gt;'(backend scoring)'!$T$335,"",$A125+1),"")</f>
        <v/>
      </c>
      <c r="B126" s="210" t="str">
        <f>_xlfn.XLOOKUP($A126,'(backend scoring)'!$V$2:$V$333,'(backend scoring)'!$A$2:$A$333,"")</f>
        <v/>
      </c>
      <c r="C126" s="210" t="str">
        <f>IFERROR(VLOOKUP($B126,'Institution Evaluation'!$A$55:$F$346,2,0),IFERROR(VLOOKUP($B126,'Privacy Analyst Evaluation'!$A$46:$F$120,2,0),""))&amp;""</f>
        <v/>
      </c>
      <c r="D126" s="210" t="str">
        <f>IFERROR(VLOOKUP($B126,'Institution Evaluation'!$A$55:$F$346,3,0),IFERROR(VLOOKUP($B126,'Privacy Analyst Evaluation'!$A$46:$F$120,3,0),""))&amp;""</f>
        <v/>
      </c>
      <c r="E126" s="210" t="str">
        <f>IFERROR(VLOOKUP($B126,'Institution Evaluation'!$A$55:$F$346,4,0),IFERROR(VLOOKUP($B126,'Privacy Analyst Evaluation'!$A$46:$F$120,4,0),""))&amp;""</f>
        <v/>
      </c>
      <c r="F126" s="210" t="str">
        <f>IFERROR(VLOOKUP($B126,'Institution Evaluation'!$A$55:$F$346,6,0),IFERROR(VLOOKUP($B126,'Privacy Analyst Evaluation'!$A$46:$F$120,6,0),""))&amp;""</f>
        <v/>
      </c>
      <c r="G126" s="211"/>
      <c r="H126" s="210" t="str">
        <f>IFERROR(IF($H125+1&gt;'(backend scoring)'!$Q$335,"",$H125+1),"")</f>
        <v/>
      </c>
      <c r="I126" s="210" t="str">
        <f>_xlfn.XLOOKUP($H126,'(backend scoring)'!$S$2:$S$333,'(backend scoring)'!$A$2:$A$333,"")</f>
        <v/>
      </c>
      <c r="J126" s="210" t="str">
        <f>IFERROR(VLOOKUP($I126,'Institution Evaluation'!$A$55:$F$346,2,0),IFERROR(VLOOKUP($I126,'Privacy Analyst Evaluation'!$A$46:$F$120,2,0),""))</f>
        <v/>
      </c>
      <c r="K126" s="210" t="str">
        <f>IFERROR(VLOOKUP($I126,'Institution Evaluation'!$A$55:$F$346,3,0),IFERROR(VLOOKUP($I126,'Privacy Analyst Evaluation'!$A$46:$F$120,3,0),""))&amp;""</f>
        <v/>
      </c>
      <c r="L126" s="210" t="str">
        <f>IFERROR(VLOOKUP($I126,'Institution Evaluation'!$A$55:$F$346,4,0),IFERROR(VLOOKUP($I126,'Privacy Analyst Evaluation'!$A$46:$F$120,4,0),""))&amp;""</f>
        <v/>
      </c>
      <c r="M126" s="210"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2">
      <c r="A127" s="210" t="str">
        <f>IFERROR(IF($A126+1&gt;'(backend scoring)'!$T$335,"",$A126+1),"")</f>
        <v/>
      </c>
      <c r="B127" s="210" t="str">
        <f>_xlfn.XLOOKUP($A127,'(backend scoring)'!$V$2:$V$333,'(backend scoring)'!$A$2:$A$333,"")</f>
        <v/>
      </c>
      <c r="C127" s="210" t="str">
        <f>IFERROR(VLOOKUP($B127,'Institution Evaluation'!$A$55:$F$346,2,0),IFERROR(VLOOKUP($B127,'Privacy Analyst Evaluation'!$A$46:$F$120,2,0),""))&amp;""</f>
        <v/>
      </c>
      <c r="D127" s="210" t="str">
        <f>IFERROR(VLOOKUP($B127,'Institution Evaluation'!$A$55:$F$346,3,0),IFERROR(VLOOKUP($B127,'Privacy Analyst Evaluation'!$A$46:$F$120,3,0),""))&amp;""</f>
        <v/>
      </c>
      <c r="E127" s="210" t="str">
        <f>IFERROR(VLOOKUP($B127,'Institution Evaluation'!$A$55:$F$346,4,0),IFERROR(VLOOKUP($B127,'Privacy Analyst Evaluation'!$A$46:$F$120,4,0),""))&amp;""</f>
        <v/>
      </c>
      <c r="F127" s="210" t="str">
        <f>IFERROR(VLOOKUP($B127,'Institution Evaluation'!$A$55:$F$346,6,0),IFERROR(VLOOKUP($B127,'Privacy Analyst Evaluation'!$A$46:$F$120,6,0),""))&amp;""</f>
        <v/>
      </c>
      <c r="G127" s="211"/>
      <c r="H127" s="210" t="str">
        <f>IFERROR(IF($H126+1&gt;'(backend scoring)'!$Q$335,"",$H126+1),"")</f>
        <v/>
      </c>
      <c r="I127" s="210" t="str">
        <f>_xlfn.XLOOKUP($H127,'(backend scoring)'!$S$2:$S$333,'(backend scoring)'!$A$2:$A$333,"")</f>
        <v/>
      </c>
      <c r="J127" s="210" t="str">
        <f>IFERROR(VLOOKUP($I127,'Institution Evaluation'!$A$55:$F$346,2,0),IFERROR(VLOOKUP($I127,'Privacy Analyst Evaluation'!$A$46:$F$120,2,0),""))</f>
        <v/>
      </c>
      <c r="K127" s="210" t="str">
        <f>IFERROR(VLOOKUP($I127,'Institution Evaluation'!$A$55:$F$346,3,0),IFERROR(VLOOKUP($I127,'Privacy Analyst Evaluation'!$A$46:$F$120,3,0),""))&amp;""</f>
        <v/>
      </c>
      <c r="L127" s="210" t="str">
        <f>IFERROR(VLOOKUP($I127,'Institution Evaluation'!$A$55:$F$346,4,0),IFERROR(VLOOKUP($I127,'Privacy Analyst Evaluation'!$A$46:$F$120,4,0),""))&amp;""</f>
        <v/>
      </c>
      <c r="M127" s="210"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2">
      <c r="A128" s="210" t="str">
        <f>IFERROR(IF($A127+1&gt;'(backend scoring)'!$T$335,"",$A127+1),"")</f>
        <v/>
      </c>
      <c r="B128" s="210" t="str">
        <f>_xlfn.XLOOKUP($A128,'(backend scoring)'!$V$2:$V$333,'(backend scoring)'!$A$2:$A$333,"")</f>
        <v/>
      </c>
      <c r="C128" s="210" t="str">
        <f>IFERROR(VLOOKUP($B128,'Institution Evaluation'!$A$55:$F$346,2,0),IFERROR(VLOOKUP($B128,'Privacy Analyst Evaluation'!$A$46:$F$120,2,0),""))&amp;""</f>
        <v/>
      </c>
      <c r="D128" s="210" t="str">
        <f>IFERROR(VLOOKUP($B128,'Institution Evaluation'!$A$55:$F$346,3,0),IFERROR(VLOOKUP($B128,'Privacy Analyst Evaluation'!$A$46:$F$120,3,0),""))&amp;""</f>
        <v/>
      </c>
      <c r="E128" s="210" t="str">
        <f>IFERROR(VLOOKUP($B128,'Institution Evaluation'!$A$55:$F$346,4,0),IFERROR(VLOOKUP($B128,'Privacy Analyst Evaluation'!$A$46:$F$120,4,0),""))&amp;""</f>
        <v/>
      </c>
      <c r="F128" s="210" t="str">
        <f>IFERROR(VLOOKUP($B128,'Institution Evaluation'!$A$55:$F$346,6,0),IFERROR(VLOOKUP($B128,'Privacy Analyst Evaluation'!$A$46:$F$120,6,0),""))&amp;""</f>
        <v/>
      </c>
      <c r="G128" s="211"/>
      <c r="H128" s="210" t="str">
        <f>IFERROR(IF($H127+1&gt;'(backend scoring)'!$Q$335,"",$H127+1),"")</f>
        <v/>
      </c>
      <c r="I128" s="210" t="str">
        <f>_xlfn.XLOOKUP($H128,'(backend scoring)'!$S$2:$S$333,'(backend scoring)'!$A$2:$A$333,"")</f>
        <v/>
      </c>
      <c r="J128" s="210" t="str">
        <f>IFERROR(VLOOKUP($I128,'Institution Evaluation'!$A$55:$F$346,2,0),IFERROR(VLOOKUP($I128,'Privacy Analyst Evaluation'!$A$46:$F$120,2,0),""))</f>
        <v/>
      </c>
      <c r="K128" s="210" t="str">
        <f>IFERROR(VLOOKUP($I128,'Institution Evaluation'!$A$55:$F$346,3,0),IFERROR(VLOOKUP($I128,'Privacy Analyst Evaluation'!$A$46:$F$120,3,0),""))&amp;""</f>
        <v/>
      </c>
      <c r="L128" s="210" t="str">
        <f>IFERROR(VLOOKUP($I128,'Institution Evaluation'!$A$55:$F$346,4,0),IFERROR(VLOOKUP($I128,'Privacy Analyst Evaluation'!$A$46:$F$120,4,0),""))&amp;""</f>
        <v/>
      </c>
      <c r="M128" s="210"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2">
      <c r="A129" s="210" t="str">
        <f>IFERROR(IF($A128+1&gt;'(backend scoring)'!$T$335,"",$A128+1),"")</f>
        <v/>
      </c>
      <c r="B129" s="210" t="str">
        <f>_xlfn.XLOOKUP($A129,'(backend scoring)'!$V$2:$V$333,'(backend scoring)'!$A$2:$A$333,"")</f>
        <v/>
      </c>
      <c r="C129" s="210" t="str">
        <f>IFERROR(VLOOKUP($B129,'Institution Evaluation'!$A$55:$F$346,2,0),IFERROR(VLOOKUP($B129,'Privacy Analyst Evaluation'!$A$46:$F$120,2,0),""))&amp;""</f>
        <v/>
      </c>
      <c r="D129" s="210" t="str">
        <f>IFERROR(VLOOKUP($B129,'Institution Evaluation'!$A$55:$F$346,3,0),IFERROR(VLOOKUP($B129,'Privacy Analyst Evaluation'!$A$46:$F$120,3,0),""))&amp;""</f>
        <v/>
      </c>
      <c r="E129" s="210" t="str">
        <f>IFERROR(VLOOKUP($B129,'Institution Evaluation'!$A$55:$F$346,4,0),IFERROR(VLOOKUP($B129,'Privacy Analyst Evaluation'!$A$46:$F$120,4,0),""))&amp;""</f>
        <v/>
      </c>
      <c r="F129" s="210" t="str">
        <f>IFERROR(VLOOKUP($B129,'Institution Evaluation'!$A$55:$F$346,6,0),IFERROR(VLOOKUP($B129,'Privacy Analyst Evaluation'!$A$46:$F$120,6,0),""))&amp;""</f>
        <v/>
      </c>
      <c r="G129" s="211"/>
      <c r="H129" s="210" t="str">
        <f>IFERROR(IF($H128+1&gt;'(backend scoring)'!$Q$335,"",$H128+1),"")</f>
        <v/>
      </c>
      <c r="I129" s="210" t="str">
        <f>_xlfn.XLOOKUP($H129,'(backend scoring)'!$S$2:$S$333,'(backend scoring)'!$A$2:$A$333,"")</f>
        <v/>
      </c>
      <c r="J129" s="210" t="str">
        <f>IFERROR(VLOOKUP($I129,'Institution Evaluation'!$A$55:$F$346,2,0),IFERROR(VLOOKUP($I129,'Privacy Analyst Evaluation'!$A$46:$F$120,2,0),""))</f>
        <v/>
      </c>
      <c r="K129" s="210" t="str">
        <f>IFERROR(VLOOKUP($I129,'Institution Evaluation'!$A$55:$F$346,3,0),IFERROR(VLOOKUP($I129,'Privacy Analyst Evaluation'!$A$46:$F$120,3,0),""))&amp;""</f>
        <v/>
      </c>
      <c r="L129" s="210" t="str">
        <f>IFERROR(VLOOKUP($I129,'Institution Evaluation'!$A$55:$F$346,4,0),IFERROR(VLOOKUP($I129,'Privacy Analyst Evaluation'!$A$46:$F$120,4,0),""))&amp;""</f>
        <v/>
      </c>
      <c r="M129" s="210"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2">
      <c r="A130" s="210" t="str">
        <f>IFERROR(IF($A129+1&gt;'(backend scoring)'!$T$335,"",$A129+1),"")</f>
        <v/>
      </c>
      <c r="B130" s="210" t="str">
        <f>_xlfn.XLOOKUP($A130,'(backend scoring)'!$V$2:$V$333,'(backend scoring)'!$A$2:$A$333,"")</f>
        <v/>
      </c>
      <c r="C130" s="210" t="str">
        <f>IFERROR(VLOOKUP($B130,'Institution Evaluation'!$A$55:$F$346,2,0),IFERROR(VLOOKUP($B130,'Privacy Analyst Evaluation'!$A$46:$F$120,2,0),""))&amp;""</f>
        <v/>
      </c>
      <c r="D130" s="210" t="str">
        <f>IFERROR(VLOOKUP($B130,'Institution Evaluation'!$A$55:$F$346,3,0),IFERROR(VLOOKUP($B130,'Privacy Analyst Evaluation'!$A$46:$F$120,3,0),""))&amp;""</f>
        <v/>
      </c>
      <c r="E130" s="210" t="str">
        <f>IFERROR(VLOOKUP($B130,'Institution Evaluation'!$A$55:$F$346,4,0),IFERROR(VLOOKUP($B130,'Privacy Analyst Evaluation'!$A$46:$F$120,4,0),""))&amp;""</f>
        <v/>
      </c>
      <c r="F130" s="210" t="str">
        <f>IFERROR(VLOOKUP($B130,'Institution Evaluation'!$A$55:$F$346,6,0),IFERROR(VLOOKUP($B130,'Privacy Analyst Evaluation'!$A$46:$F$120,6,0),""))&amp;""</f>
        <v/>
      </c>
      <c r="G130" s="211"/>
      <c r="H130" s="210" t="str">
        <f>IFERROR(IF($H129+1&gt;'(backend scoring)'!$Q$335,"",$H129+1),"")</f>
        <v/>
      </c>
      <c r="I130" s="210" t="str">
        <f>_xlfn.XLOOKUP($H130,'(backend scoring)'!$S$2:$S$333,'(backend scoring)'!$A$2:$A$333,"")</f>
        <v/>
      </c>
      <c r="J130" s="210" t="str">
        <f>IFERROR(VLOOKUP($I130,'Institution Evaluation'!$A$55:$F$346,2,0),IFERROR(VLOOKUP($I130,'Privacy Analyst Evaluation'!$A$46:$F$120,2,0),""))</f>
        <v/>
      </c>
      <c r="K130" s="210" t="str">
        <f>IFERROR(VLOOKUP($I130,'Institution Evaluation'!$A$55:$F$346,3,0),IFERROR(VLOOKUP($I130,'Privacy Analyst Evaluation'!$A$46:$F$120,3,0),""))&amp;""</f>
        <v/>
      </c>
      <c r="L130" s="210" t="str">
        <f>IFERROR(VLOOKUP($I130,'Institution Evaluation'!$A$55:$F$346,4,0),IFERROR(VLOOKUP($I130,'Privacy Analyst Evaluation'!$A$46:$F$120,4,0),""))&amp;""</f>
        <v/>
      </c>
      <c r="M130" s="210"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2">
      <c r="A131" s="210" t="str">
        <f>IFERROR(IF($A130+1&gt;'(backend scoring)'!$T$335,"",$A130+1),"")</f>
        <v/>
      </c>
      <c r="B131" s="210" t="str">
        <f>_xlfn.XLOOKUP($A131,'(backend scoring)'!$V$2:$V$333,'(backend scoring)'!$A$2:$A$333,"")</f>
        <v/>
      </c>
      <c r="C131" s="210" t="str">
        <f>IFERROR(VLOOKUP($B131,'Institution Evaluation'!$A$55:$F$346,2,0),IFERROR(VLOOKUP($B131,'Privacy Analyst Evaluation'!$A$46:$F$120,2,0),""))&amp;""</f>
        <v/>
      </c>
      <c r="D131" s="210" t="str">
        <f>IFERROR(VLOOKUP($B131,'Institution Evaluation'!$A$55:$F$346,3,0),IFERROR(VLOOKUP($B131,'Privacy Analyst Evaluation'!$A$46:$F$120,3,0),""))&amp;""</f>
        <v/>
      </c>
      <c r="E131" s="210" t="str">
        <f>IFERROR(VLOOKUP($B131,'Institution Evaluation'!$A$55:$F$346,4,0),IFERROR(VLOOKUP($B131,'Privacy Analyst Evaluation'!$A$46:$F$120,4,0),""))&amp;""</f>
        <v/>
      </c>
      <c r="F131" s="210" t="str">
        <f>IFERROR(VLOOKUP($B131,'Institution Evaluation'!$A$55:$F$346,6,0),IFERROR(VLOOKUP($B131,'Privacy Analyst Evaluation'!$A$46:$F$120,6,0),""))&amp;""</f>
        <v/>
      </c>
      <c r="G131" s="211"/>
      <c r="H131" s="210" t="str">
        <f>IFERROR(IF($H130+1&gt;'(backend scoring)'!$Q$335,"",$H130+1),"")</f>
        <v/>
      </c>
      <c r="I131" s="210" t="str">
        <f>_xlfn.XLOOKUP($H131,'(backend scoring)'!$S$2:$S$333,'(backend scoring)'!$A$2:$A$333,"")</f>
        <v/>
      </c>
      <c r="J131" s="210" t="str">
        <f>IFERROR(VLOOKUP($I131,'Institution Evaluation'!$A$55:$F$346,2,0),IFERROR(VLOOKUP($I131,'Privacy Analyst Evaluation'!$A$46:$F$120,2,0),""))</f>
        <v/>
      </c>
      <c r="K131" s="210" t="str">
        <f>IFERROR(VLOOKUP($I131,'Institution Evaluation'!$A$55:$F$346,3,0),IFERROR(VLOOKUP($I131,'Privacy Analyst Evaluation'!$A$46:$F$120,3,0),""))&amp;""</f>
        <v/>
      </c>
      <c r="L131" s="210" t="str">
        <f>IFERROR(VLOOKUP($I131,'Institution Evaluation'!$A$55:$F$346,4,0),IFERROR(VLOOKUP($I131,'Privacy Analyst Evaluation'!$A$46:$F$120,4,0),""))&amp;""</f>
        <v/>
      </c>
      <c r="M131" s="210"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2">
      <c r="A132" s="210" t="str">
        <f>IFERROR(IF($A131+1&gt;'(backend scoring)'!$T$335,"",$A131+1),"")</f>
        <v/>
      </c>
      <c r="B132" s="210" t="str">
        <f>_xlfn.XLOOKUP($A132,'(backend scoring)'!$V$2:$V$333,'(backend scoring)'!$A$2:$A$333,"")</f>
        <v/>
      </c>
      <c r="C132" s="210" t="str">
        <f>IFERROR(VLOOKUP($B132,'Institution Evaluation'!$A$55:$F$346,2,0),IFERROR(VLOOKUP($B132,'Privacy Analyst Evaluation'!$A$46:$F$120,2,0),""))&amp;""</f>
        <v/>
      </c>
      <c r="D132" s="210" t="str">
        <f>IFERROR(VLOOKUP($B132,'Institution Evaluation'!$A$55:$F$346,3,0),IFERROR(VLOOKUP($B132,'Privacy Analyst Evaluation'!$A$46:$F$120,3,0),""))&amp;""</f>
        <v/>
      </c>
      <c r="E132" s="210" t="str">
        <f>IFERROR(VLOOKUP($B132,'Institution Evaluation'!$A$55:$F$346,4,0),IFERROR(VLOOKUP($B132,'Privacy Analyst Evaluation'!$A$46:$F$120,4,0),""))&amp;""</f>
        <v/>
      </c>
      <c r="F132" s="210" t="str">
        <f>IFERROR(VLOOKUP($B132,'Institution Evaluation'!$A$55:$F$346,6,0),IFERROR(VLOOKUP($B132,'Privacy Analyst Evaluation'!$A$46:$F$120,6,0),""))&amp;""</f>
        <v/>
      </c>
      <c r="G132" s="211"/>
      <c r="H132" s="210" t="str">
        <f>IFERROR(IF($H131+1&gt;'(backend scoring)'!$Q$335,"",$H131+1),"")</f>
        <v/>
      </c>
      <c r="I132" s="210" t="str">
        <f>_xlfn.XLOOKUP($H132,'(backend scoring)'!$S$2:$S$333,'(backend scoring)'!$A$2:$A$333,"")</f>
        <v/>
      </c>
      <c r="J132" s="210" t="str">
        <f>IFERROR(VLOOKUP($I132,'Institution Evaluation'!$A$55:$F$346,2,0),IFERROR(VLOOKUP($I132,'Privacy Analyst Evaluation'!$A$46:$F$120,2,0),""))</f>
        <v/>
      </c>
      <c r="K132" s="210" t="str">
        <f>IFERROR(VLOOKUP($I132,'Institution Evaluation'!$A$55:$F$346,3,0),IFERROR(VLOOKUP($I132,'Privacy Analyst Evaluation'!$A$46:$F$120,3,0),""))&amp;""</f>
        <v/>
      </c>
      <c r="L132" s="210" t="str">
        <f>IFERROR(VLOOKUP($I132,'Institution Evaluation'!$A$55:$F$346,4,0),IFERROR(VLOOKUP($I132,'Privacy Analyst Evaluation'!$A$46:$F$120,4,0),""))&amp;""</f>
        <v/>
      </c>
      <c r="M132" s="210"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2">
      <c r="A133" s="210" t="str">
        <f>IFERROR(IF($A132+1&gt;'(backend scoring)'!$T$335,"",$A132+1),"")</f>
        <v/>
      </c>
      <c r="B133" s="210" t="str">
        <f>_xlfn.XLOOKUP($A133,'(backend scoring)'!$V$2:$V$333,'(backend scoring)'!$A$2:$A$333,"")</f>
        <v/>
      </c>
      <c r="C133" s="210" t="str">
        <f>IFERROR(VLOOKUP($B133,'Institution Evaluation'!$A$55:$F$346,2,0),IFERROR(VLOOKUP($B133,'Privacy Analyst Evaluation'!$A$46:$F$120,2,0),""))&amp;""</f>
        <v/>
      </c>
      <c r="D133" s="210" t="str">
        <f>IFERROR(VLOOKUP($B133,'Institution Evaluation'!$A$55:$F$346,3,0),IFERROR(VLOOKUP($B133,'Privacy Analyst Evaluation'!$A$46:$F$120,3,0),""))&amp;""</f>
        <v/>
      </c>
      <c r="E133" s="210" t="str">
        <f>IFERROR(VLOOKUP($B133,'Institution Evaluation'!$A$55:$F$346,4,0),IFERROR(VLOOKUP($B133,'Privacy Analyst Evaluation'!$A$46:$F$120,4,0),""))&amp;""</f>
        <v/>
      </c>
      <c r="F133" s="210" t="str">
        <f>IFERROR(VLOOKUP($B133,'Institution Evaluation'!$A$55:$F$346,6,0),IFERROR(VLOOKUP($B133,'Privacy Analyst Evaluation'!$A$46:$F$120,6,0),""))&amp;""</f>
        <v/>
      </c>
      <c r="G133" s="211"/>
      <c r="H133" s="210" t="str">
        <f>IFERROR(IF($H132+1&gt;'(backend scoring)'!$Q$335,"",$H132+1),"")</f>
        <v/>
      </c>
      <c r="I133" s="210" t="str">
        <f>_xlfn.XLOOKUP($H133,'(backend scoring)'!$S$2:$S$333,'(backend scoring)'!$A$2:$A$333,"")</f>
        <v/>
      </c>
      <c r="J133" s="210" t="str">
        <f>IFERROR(VLOOKUP($I133,'Institution Evaluation'!$A$55:$F$346,2,0),IFERROR(VLOOKUP($I133,'Privacy Analyst Evaluation'!$A$46:$F$120,2,0),""))</f>
        <v/>
      </c>
      <c r="K133" s="210" t="str">
        <f>IFERROR(VLOOKUP($I133,'Institution Evaluation'!$A$55:$F$346,3,0),IFERROR(VLOOKUP($I133,'Privacy Analyst Evaluation'!$A$46:$F$120,3,0),""))&amp;""</f>
        <v/>
      </c>
      <c r="L133" s="210" t="str">
        <f>IFERROR(VLOOKUP($I133,'Institution Evaluation'!$A$55:$F$346,4,0),IFERROR(VLOOKUP($I133,'Privacy Analyst Evaluation'!$A$46:$F$120,4,0),""))&amp;""</f>
        <v/>
      </c>
      <c r="M133" s="210"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2">
      <c r="A134" s="210" t="str">
        <f>IFERROR(IF($A133+1&gt;'(backend scoring)'!$T$335,"",$A133+1),"")</f>
        <v/>
      </c>
      <c r="B134" s="210" t="str">
        <f>_xlfn.XLOOKUP($A134,'(backend scoring)'!$V$2:$V$333,'(backend scoring)'!$A$2:$A$333,"")</f>
        <v/>
      </c>
      <c r="C134" s="210" t="str">
        <f>IFERROR(VLOOKUP($B134,'Institution Evaluation'!$A$55:$F$346,2,0),IFERROR(VLOOKUP($B134,'Privacy Analyst Evaluation'!$A$46:$F$120,2,0),""))&amp;""</f>
        <v/>
      </c>
      <c r="D134" s="210" t="str">
        <f>IFERROR(VLOOKUP($B134,'Institution Evaluation'!$A$55:$F$346,3,0),IFERROR(VLOOKUP($B134,'Privacy Analyst Evaluation'!$A$46:$F$120,3,0),""))&amp;""</f>
        <v/>
      </c>
      <c r="E134" s="210" t="str">
        <f>IFERROR(VLOOKUP($B134,'Institution Evaluation'!$A$55:$F$346,4,0),IFERROR(VLOOKUP($B134,'Privacy Analyst Evaluation'!$A$46:$F$120,4,0),""))&amp;""</f>
        <v/>
      </c>
      <c r="F134" s="210" t="str">
        <f>IFERROR(VLOOKUP($B134,'Institution Evaluation'!$A$55:$F$346,6,0),IFERROR(VLOOKUP($B134,'Privacy Analyst Evaluation'!$A$46:$F$120,6,0),""))&amp;""</f>
        <v/>
      </c>
      <c r="G134" s="211"/>
      <c r="H134" s="210" t="str">
        <f>IFERROR(IF($H133+1&gt;'(backend scoring)'!$Q$335,"",$H133+1),"")</f>
        <v/>
      </c>
      <c r="I134" s="210" t="str">
        <f>_xlfn.XLOOKUP($H134,'(backend scoring)'!$S$2:$S$333,'(backend scoring)'!$A$2:$A$333,"")</f>
        <v/>
      </c>
      <c r="J134" s="210" t="str">
        <f>IFERROR(VLOOKUP($I134,'Institution Evaluation'!$A$55:$F$346,2,0),IFERROR(VLOOKUP($I134,'Privacy Analyst Evaluation'!$A$46:$F$120,2,0),""))</f>
        <v/>
      </c>
      <c r="K134" s="210" t="str">
        <f>IFERROR(VLOOKUP($I134,'Institution Evaluation'!$A$55:$F$346,3,0),IFERROR(VLOOKUP($I134,'Privacy Analyst Evaluation'!$A$46:$F$120,3,0),""))&amp;""</f>
        <v/>
      </c>
      <c r="L134" s="210" t="str">
        <f>IFERROR(VLOOKUP($I134,'Institution Evaluation'!$A$55:$F$346,4,0),IFERROR(VLOOKUP($I134,'Privacy Analyst Evaluation'!$A$46:$F$120,4,0),""))&amp;""</f>
        <v/>
      </c>
      <c r="M134" s="210"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2">
      <c r="A135" s="210" t="str">
        <f>IFERROR(IF($A134+1&gt;'(backend scoring)'!$T$335,"",$A134+1),"")</f>
        <v/>
      </c>
      <c r="B135" s="210" t="str">
        <f>_xlfn.XLOOKUP($A135,'(backend scoring)'!$V$2:$V$333,'(backend scoring)'!$A$2:$A$333,"")</f>
        <v/>
      </c>
      <c r="C135" s="210" t="str">
        <f>IFERROR(VLOOKUP($B135,'Institution Evaluation'!$A$55:$F$346,2,0),IFERROR(VLOOKUP($B135,'Privacy Analyst Evaluation'!$A$46:$F$120,2,0),""))&amp;""</f>
        <v/>
      </c>
      <c r="D135" s="210" t="str">
        <f>IFERROR(VLOOKUP($B135,'Institution Evaluation'!$A$55:$F$346,3,0),IFERROR(VLOOKUP($B135,'Privacy Analyst Evaluation'!$A$46:$F$120,3,0),""))&amp;""</f>
        <v/>
      </c>
      <c r="E135" s="210" t="str">
        <f>IFERROR(VLOOKUP($B135,'Institution Evaluation'!$A$55:$F$346,4,0),IFERROR(VLOOKUP($B135,'Privacy Analyst Evaluation'!$A$46:$F$120,4,0),""))&amp;""</f>
        <v/>
      </c>
      <c r="F135" s="210" t="str">
        <f>IFERROR(VLOOKUP($B135,'Institution Evaluation'!$A$55:$F$346,6,0),IFERROR(VLOOKUP($B135,'Privacy Analyst Evaluation'!$A$46:$F$120,6,0),""))&amp;""</f>
        <v/>
      </c>
      <c r="G135" s="211"/>
      <c r="H135" s="210" t="str">
        <f>IFERROR(IF($H134+1&gt;'(backend scoring)'!$Q$335,"",$H134+1),"")</f>
        <v/>
      </c>
      <c r="I135" s="210" t="str">
        <f>_xlfn.XLOOKUP($H135,'(backend scoring)'!$S$2:$S$333,'(backend scoring)'!$A$2:$A$333,"")</f>
        <v/>
      </c>
      <c r="J135" s="210" t="str">
        <f>IFERROR(VLOOKUP($I135,'Institution Evaluation'!$A$55:$F$346,2,0),IFERROR(VLOOKUP($I135,'Privacy Analyst Evaluation'!$A$46:$F$120,2,0),""))</f>
        <v/>
      </c>
      <c r="K135" s="210" t="str">
        <f>IFERROR(VLOOKUP($I135,'Institution Evaluation'!$A$55:$F$346,3,0),IFERROR(VLOOKUP($I135,'Privacy Analyst Evaluation'!$A$46:$F$120,3,0),""))&amp;""</f>
        <v/>
      </c>
      <c r="L135" s="210" t="str">
        <f>IFERROR(VLOOKUP($I135,'Institution Evaluation'!$A$55:$F$346,4,0),IFERROR(VLOOKUP($I135,'Privacy Analyst Evaluation'!$A$46:$F$120,4,0),""))&amp;""</f>
        <v/>
      </c>
      <c r="M135" s="210"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2">
      <c r="A136" s="210" t="str">
        <f>IFERROR(IF($A135+1&gt;'(backend scoring)'!$T$335,"",$A135+1),"")</f>
        <v/>
      </c>
      <c r="B136" s="210" t="str">
        <f>_xlfn.XLOOKUP($A136,'(backend scoring)'!$V$2:$V$333,'(backend scoring)'!$A$2:$A$333,"")</f>
        <v/>
      </c>
      <c r="C136" s="210" t="str">
        <f>IFERROR(VLOOKUP($B136,'Institution Evaluation'!$A$55:$F$346,2,0),IFERROR(VLOOKUP($B136,'Privacy Analyst Evaluation'!$A$46:$F$120,2,0),""))&amp;""</f>
        <v/>
      </c>
      <c r="D136" s="210" t="str">
        <f>IFERROR(VLOOKUP($B136,'Institution Evaluation'!$A$55:$F$346,3,0),IFERROR(VLOOKUP($B136,'Privacy Analyst Evaluation'!$A$46:$F$120,3,0),""))&amp;""</f>
        <v/>
      </c>
      <c r="E136" s="210" t="str">
        <f>IFERROR(VLOOKUP($B136,'Institution Evaluation'!$A$55:$F$346,4,0),IFERROR(VLOOKUP($B136,'Privacy Analyst Evaluation'!$A$46:$F$120,4,0),""))&amp;""</f>
        <v/>
      </c>
      <c r="F136" s="210" t="str">
        <f>IFERROR(VLOOKUP($B136,'Institution Evaluation'!$A$55:$F$346,6,0),IFERROR(VLOOKUP($B136,'Privacy Analyst Evaluation'!$A$46:$F$120,6,0),""))&amp;""</f>
        <v/>
      </c>
      <c r="G136" s="211"/>
      <c r="H136" s="210" t="str">
        <f>IFERROR(IF($H135+1&gt;'(backend scoring)'!$Q$335,"",$H135+1),"")</f>
        <v/>
      </c>
      <c r="I136" s="210" t="str">
        <f>_xlfn.XLOOKUP($H136,'(backend scoring)'!$S$2:$S$333,'(backend scoring)'!$A$2:$A$333,"")</f>
        <v/>
      </c>
      <c r="J136" s="210" t="str">
        <f>IFERROR(VLOOKUP($I136,'Institution Evaluation'!$A$55:$F$346,2,0),IFERROR(VLOOKUP($I136,'Privacy Analyst Evaluation'!$A$46:$F$120,2,0),""))</f>
        <v/>
      </c>
      <c r="K136" s="210" t="str">
        <f>IFERROR(VLOOKUP($I136,'Institution Evaluation'!$A$55:$F$346,3,0),IFERROR(VLOOKUP($I136,'Privacy Analyst Evaluation'!$A$46:$F$120,3,0),""))&amp;""</f>
        <v/>
      </c>
      <c r="L136" s="210" t="str">
        <f>IFERROR(VLOOKUP($I136,'Institution Evaluation'!$A$55:$F$346,4,0),IFERROR(VLOOKUP($I136,'Privacy Analyst Evaluation'!$A$46:$F$120,4,0),""))&amp;""</f>
        <v/>
      </c>
      <c r="M136" s="210"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2">
      <c r="A137" s="210" t="str">
        <f>IFERROR(IF($A136+1&gt;'(backend scoring)'!$T$335,"",$A136+1),"")</f>
        <v/>
      </c>
      <c r="B137" s="210" t="str">
        <f>_xlfn.XLOOKUP($A137,'(backend scoring)'!$V$2:$V$333,'(backend scoring)'!$A$2:$A$333,"")</f>
        <v/>
      </c>
      <c r="C137" s="210" t="str">
        <f>IFERROR(VLOOKUP($B137,'Institution Evaluation'!$A$55:$F$346,2,0),IFERROR(VLOOKUP($B137,'Privacy Analyst Evaluation'!$A$46:$F$120,2,0),""))&amp;""</f>
        <v/>
      </c>
      <c r="D137" s="210" t="str">
        <f>IFERROR(VLOOKUP($B137,'Institution Evaluation'!$A$55:$F$346,3,0),IFERROR(VLOOKUP($B137,'Privacy Analyst Evaluation'!$A$46:$F$120,3,0),""))&amp;""</f>
        <v/>
      </c>
      <c r="E137" s="210" t="str">
        <f>IFERROR(VLOOKUP($B137,'Institution Evaluation'!$A$55:$F$346,4,0),IFERROR(VLOOKUP($B137,'Privacy Analyst Evaluation'!$A$46:$F$120,4,0),""))&amp;""</f>
        <v/>
      </c>
      <c r="F137" s="210" t="str">
        <f>IFERROR(VLOOKUP($B137,'Institution Evaluation'!$A$55:$F$346,6,0),IFERROR(VLOOKUP($B137,'Privacy Analyst Evaluation'!$A$46:$F$120,6,0),""))&amp;""</f>
        <v/>
      </c>
      <c r="G137" s="211"/>
      <c r="H137" s="210" t="str">
        <f>IFERROR(IF($H136+1&gt;'(backend scoring)'!$Q$335,"",$H136+1),"")</f>
        <v/>
      </c>
      <c r="I137" s="210" t="str">
        <f>_xlfn.XLOOKUP($H137,'(backend scoring)'!$S$2:$S$333,'(backend scoring)'!$A$2:$A$333,"")</f>
        <v/>
      </c>
      <c r="J137" s="210" t="str">
        <f>IFERROR(VLOOKUP($I137,'Institution Evaluation'!$A$55:$F$346,2,0),IFERROR(VLOOKUP($I137,'Privacy Analyst Evaluation'!$A$46:$F$120,2,0),""))</f>
        <v/>
      </c>
      <c r="K137" s="210" t="str">
        <f>IFERROR(VLOOKUP($I137,'Institution Evaluation'!$A$55:$F$346,3,0),IFERROR(VLOOKUP($I137,'Privacy Analyst Evaluation'!$A$46:$F$120,3,0),""))&amp;""</f>
        <v/>
      </c>
      <c r="L137" s="210" t="str">
        <f>IFERROR(VLOOKUP($I137,'Institution Evaluation'!$A$55:$F$346,4,0),IFERROR(VLOOKUP($I137,'Privacy Analyst Evaluation'!$A$46:$F$120,4,0),""))&amp;""</f>
        <v/>
      </c>
      <c r="M137" s="210"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2">
      <c r="A138" s="210" t="str">
        <f>IFERROR(IF($A137+1&gt;'(backend scoring)'!$T$335,"",$A137+1),"")</f>
        <v/>
      </c>
      <c r="B138" s="210" t="str">
        <f>_xlfn.XLOOKUP($A138,'(backend scoring)'!$V$2:$V$333,'(backend scoring)'!$A$2:$A$333,"")</f>
        <v/>
      </c>
      <c r="C138" s="210" t="str">
        <f>IFERROR(VLOOKUP($B138,'Institution Evaluation'!$A$55:$F$346,2,0),IFERROR(VLOOKUP($B138,'Privacy Analyst Evaluation'!$A$46:$F$120,2,0),""))&amp;""</f>
        <v/>
      </c>
      <c r="D138" s="210" t="str">
        <f>IFERROR(VLOOKUP($B138,'Institution Evaluation'!$A$55:$F$346,3,0),IFERROR(VLOOKUP($B138,'Privacy Analyst Evaluation'!$A$46:$F$120,3,0),""))&amp;""</f>
        <v/>
      </c>
      <c r="E138" s="210" t="str">
        <f>IFERROR(VLOOKUP($B138,'Institution Evaluation'!$A$55:$F$346,4,0),IFERROR(VLOOKUP($B138,'Privacy Analyst Evaluation'!$A$46:$F$120,4,0),""))&amp;""</f>
        <v/>
      </c>
      <c r="F138" s="210" t="str">
        <f>IFERROR(VLOOKUP($B138,'Institution Evaluation'!$A$55:$F$346,6,0),IFERROR(VLOOKUP($B138,'Privacy Analyst Evaluation'!$A$46:$F$120,6,0),""))&amp;""</f>
        <v/>
      </c>
      <c r="G138" s="211"/>
      <c r="H138" s="210" t="str">
        <f>IFERROR(IF($H137+1&gt;'(backend scoring)'!$Q$335,"",$H137+1),"")</f>
        <v/>
      </c>
      <c r="I138" s="210" t="str">
        <f>_xlfn.XLOOKUP($H138,'(backend scoring)'!$S$2:$S$333,'(backend scoring)'!$A$2:$A$333,"")</f>
        <v/>
      </c>
      <c r="J138" s="210" t="str">
        <f>IFERROR(VLOOKUP($I138,'Institution Evaluation'!$A$55:$F$346,2,0),IFERROR(VLOOKUP($I138,'Privacy Analyst Evaluation'!$A$46:$F$120,2,0),""))</f>
        <v/>
      </c>
      <c r="K138" s="210" t="str">
        <f>IFERROR(VLOOKUP($I138,'Institution Evaluation'!$A$55:$F$346,3,0),IFERROR(VLOOKUP($I138,'Privacy Analyst Evaluation'!$A$46:$F$120,3,0),""))&amp;""</f>
        <v/>
      </c>
      <c r="L138" s="210" t="str">
        <f>IFERROR(VLOOKUP($I138,'Institution Evaluation'!$A$55:$F$346,4,0),IFERROR(VLOOKUP($I138,'Privacy Analyst Evaluation'!$A$46:$F$120,4,0),""))&amp;""</f>
        <v/>
      </c>
      <c r="M138" s="210"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2">
      <c r="A139" s="210" t="str">
        <f>IFERROR(IF($A138+1&gt;'(backend scoring)'!$T$335,"",$A138+1),"")</f>
        <v/>
      </c>
      <c r="B139" s="210" t="str">
        <f>_xlfn.XLOOKUP($A139,'(backend scoring)'!$V$2:$V$333,'(backend scoring)'!$A$2:$A$333,"")</f>
        <v/>
      </c>
      <c r="C139" s="210" t="str">
        <f>IFERROR(VLOOKUP($B139,'Institution Evaluation'!$A$55:$F$346,2,0),IFERROR(VLOOKUP($B139,'Privacy Analyst Evaluation'!$A$46:$F$120,2,0),""))&amp;""</f>
        <v/>
      </c>
      <c r="D139" s="210" t="str">
        <f>IFERROR(VLOOKUP($B139,'Institution Evaluation'!$A$55:$F$346,3,0),IFERROR(VLOOKUP($B139,'Privacy Analyst Evaluation'!$A$46:$F$120,3,0),""))&amp;""</f>
        <v/>
      </c>
      <c r="E139" s="210" t="str">
        <f>IFERROR(VLOOKUP($B139,'Institution Evaluation'!$A$55:$F$346,4,0),IFERROR(VLOOKUP($B139,'Privacy Analyst Evaluation'!$A$46:$F$120,4,0),""))&amp;""</f>
        <v/>
      </c>
      <c r="F139" s="210" t="str">
        <f>IFERROR(VLOOKUP($B139,'Institution Evaluation'!$A$55:$F$346,6,0),IFERROR(VLOOKUP($B139,'Privacy Analyst Evaluation'!$A$46:$F$120,6,0),""))&amp;""</f>
        <v/>
      </c>
      <c r="G139" s="211"/>
      <c r="H139" s="210" t="str">
        <f>IFERROR(IF($H138+1&gt;'(backend scoring)'!$Q$335,"",$H138+1),"")</f>
        <v/>
      </c>
      <c r="I139" s="210" t="str">
        <f>_xlfn.XLOOKUP($H139,'(backend scoring)'!$S$2:$S$333,'(backend scoring)'!$A$2:$A$333,"")</f>
        <v/>
      </c>
      <c r="J139" s="210" t="str">
        <f>IFERROR(VLOOKUP($I139,'Institution Evaluation'!$A$55:$F$346,2,0),IFERROR(VLOOKUP($I139,'Privacy Analyst Evaluation'!$A$46:$F$120,2,0),""))</f>
        <v/>
      </c>
      <c r="K139" s="210" t="str">
        <f>IFERROR(VLOOKUP($I139,'Institution Evaluation'!$A$55:$F$346,3,0),IFERROR(VLOOKUP($I139,'Privacy Analyst Evaluation'!$A$46:$F$120,3,0),""))&amp;""</f>
        <v/>
      </c>
      <c r="L139" s="210" t="str">
        <f>IFERROR(VLOOKUP($I139,'Institution Evaluation'!$A$55:$F$346,4,0),IFERROR(VLOOKUP($I139,'Privacy Analyst Evaluation'!$A$46:$F$120,4,0),""))&amp;""</f>
        <v/>
      </c>
      <c r="M139" s="210"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2">
      <c r="A140" s="210" t="str">
        <f>IFERROR(IF($A139+1&gt;'(backend scoring)'!$T$335,"",$A139+1),"")</f>
        <v/>
      </c>
      <c r="B140" s="210" t="str">
        <f>_xlfn.XLOOKUP($A140,'(backend scoring)'!$V$2:$V$333,'(backend scoring)'!$A$2:$A$333,"")</f>
        <v/>
      </c>
      <c r="C140" s="210" t="str">
        <f>IFERROR(VLOOKUP($B140,'Institution Evaluation'!$A$55:$F$346,2,0),IFERROR(VLOOKUP($B140,'Privacy Analyst Evaluation'!$A$46:$F$120,2,0),""))&amp;""</f>
        <v/>
      </c>
      <c r="D140" s="210" t="str">
        <f>IFERROR(VLOOKUP($B140,'Institution Evaluation'!$A$55:$F$346,3,0),IFERROR(VLOOKUP($B140,'Privacy Analyst Evaluation'!$A$46:$F$120,3,0),""))&amp;""</f>
        <v/>
      </c>
      <c r="E140" s="210" t="str">
        <f>IFERROR(VLOOKUP($B140,'Institution Evaluation'!$A$55:$F$346,4,0),IFERROR(VLOOKUP($B140,'Privacy Analyst Evaluation'!$A$46:$F$120,4,0),""))&amp;""</f>
        <v/>
      </c>
      <c r="F140" s="210" t="str">
        <f>IFERROR(VLOOKUP($B140,'Institution Evaluation'!$A$55:$F$346,6,0),IFERROR(VLOOKUP($B140,'Privacy Analyst Evaluation'!$A$46:$F$120,6,0),""))&amp;""</f>
        <v/>
      </c>
      <c r="G140" s="211"/>
      <c r="H140" s="210" t="str">
        <f>IFERROR(IF($H139+1&gt;'(backend scoring)'!$Q$335,"",$H139+1),"")</f>
        <v/>
      </c>
      <c r="I140" s="210" t="str">
        <f>_xlfn.XLOOKUP($H140,'(backend scoring)'!$S$2:$S$333,'(backend scoring)'!$A$2:$A$333,"")</f>
        <v/>
      </c>
      <c r="J140" s="210" t="str">
        <f>IFERROR(VLOOKUP($I140,'Institution Evaluation'!$A$55:$F$346,2,0),IFERROR(VLOOKUP($I140,'Privacy Analyst Evaluation'!$A$46:$F$120,2,0),""))</f>
        <v/>
      </c>
      <c r="K140" s="210" t="str">
        <f>IFERROR(VLOOKUP($I140,'Institution Evaluation'!$A$55:$F$346,3,0),IFERROR(VLOOKUP($I140,'Privacy Analyst Evaluation'!$A$46:$F$120,3,0),""))&amp;""</f>
        <v/>
      </c>
      <c r="L140" s="210" t="str">
        <f>IFERROR(VLOOKUP($I140,'Institution Evaluation'!$A$55:$F$346,4,0),IFERROR(VLOOKUP($I140,'Privacy Analyst Evaluation'!$A$46:$F$120,4,0),""))&amp;""</f>
        <v/>
      </c>
      <c r="M140" s="210"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2">
      <c r="A141" s="210" t="str">
        <f>IFERROR(IF($A140+1&gt;'(backend scoring)'!$T$335,"",$A140+1),"")</f>
        <v/>
      </c>
      <c r="B141" s="210" t="str">
        <f>_xlfn.XLOOKUP($A141,'(backend scoring)'!$V$2:$V$333,'(backend scoring)'!$A$2:$A$333,"")</f>
        <v/>
      </c>
      <c r="C141" s="210" t="str">
        <f>IFERROR(VLOOKUP($B141,'Institution Evaluation'!$A$55:$F$346,2,0),IFERROR(VLOOKUP($B141,'Privacy Analyst Evaluation'!$A$46:$F$120,2,0),""))&amp;""</f>
        <v/>
      </c>
      <c r="D141" s="210" t="str">
        <f>IFERROR(VLOOKUP($B141,'Institution Evaluation'!$A$55:$F$346,3,0),IFERROR(VLOOKUP($B141,'Privacy Analyst Evaluation'!$A$46:$F$120,3,0),""))&amp;""</f>
        <v/>
      </c>
      <c r="E141" s="210" t="str">
        <f>IFERROR(VLOOKUP($B141,'Institution Evaluation'!$A$55:$F$346,4,0),IFERROR(VLOOKUP($B141,'Privacy Analyst Evaluation'!$A$46:$F$120,4,0),""))&amp;""</f>
        <v/>
      </c>
      <c r="F141" s="210" t="str">
        <f>IFERROR(VLOOKUP($B141,'Institution Evaluation'!$A$55:$F$346,6,0),IFERROR(VLOOKUP($B141,'Privacy Analyst Evaluation'!$A$46:$F$120,6,0),""))&amp;""</f>
        <v/>
      </c>
      <c r="G141" s="211"/>
      <c r="H141" s="210" t="str">
        <f>IFERROR(IF($H140+1&gt;'(backend scoring)'!$Q$335,"",$H140+1),"")</f>
        <v/>
      </c>
      <c r="I141" s="210" t="str">
        <f>_xlfn.XLOOKUP($H141,'(backend scoring)'!$S$2:$S$333,'(backend scoring)'!$A$2:$A$333,"")</f>
        <v/>
      </c>
      <c r="J141" s="210" t="str">
        <f>IFERROR(VLOOKUP($I141,'Institution Evaluation'!$A$55:$F$346,2,0),IFERROR(VLOOKUP($I141,'Privacy Analyst Evaluation'!$A$46:$F$120,2,0),""))</f>
        <v/>
      </c>
      <c r="K141" s="210" t="str">
        <f>IFERROR(VLOOKUP($I141,'Institution Evaluation'!$A$55:$F$346,3,0),IFERROR(VLOOKUP($I141,'Privacy Analyst Evaluation'!$A$46:$F$120,3,0),""))&amp;""</f>
        <v/>
      </c>
      <c r="L141" s="210" t="str">
        <f>IFERROR(VLOOKUP($I141,'Institution Evaluation'!$A$55:$F$346,4,0),IFERROR(VLOOKUP($I141,'Privacy Analyst Evaluation'!$A$46:$F$120,4,0),""))&amp;""</f>
        <v/>
      </c>
      <c r="M141" s="210"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2">
      <c r="A142" s="210" t="str">
        <f>IFERROR(IF($A141+1&gt;'(backend scoring)'!$T$335,"",$A141+1),"")</f>
        <v/>
      </c>
      <c r="B142" s="210" t="str">
        <f>_xlfn.XLOOKUP($A142,'(backend scoring)'!$V$2:$V$333,'(backend scoring)'!$A$2:$A$333,"")</f>
        <v/>
      </c>
      <c r="C142" s="210" t="str">
        <f>IFERROR(VLOOKUP($B142,'Institution Evaluation'!$A$55:$F$346,2,0),IFERROR(VLOOKUP($B142,'Privacy Analyst Evaluation'!$A$46:$F$120,2,0),""))&amp;""</f>
        <v/>
      </c>
      <c r="D142" s="210" t="str">
        <f>IFERROR(VLOOKUP($B142,'Institution Evaluation'!$A$55:$F$346,3,0),IFERROR(VLOOKUP($B142,'Privacy Analyst Evaluation'!$A$46:$F$120,3,0),""))&amp;""</f>
        <v/>
      </c>
      <c r="E142" s="210" t="str">
        <f>IFERROR(VLOOKUP($B142,'Institution Evaluation'!$A$55:$F$346,4,0),IFERROR(VLOOKUP($B142,'Privacy Analyst Evaluation'!$A$46:$F$120,4,0),""))&amp;""</f>
        <v/>
      </c>
      <c r="F142" s="210" t="str">
        <f>IFERROR(VLOOKUP($B142,'Institution Evaluation'!$A$55:$F$346,6,0),IFERROR(VLOOKUP($B142,'Privacy Analyst Evaluation'!$A$46:$F$120,6,0),""))&amp;""</f>
        <v/>
      </c>
      <c r="G142" s="211"/>
      <c r="H142" s="210" t="str">
        <f>IFERROR(IF($H141+1&gt;'(backend scoring)'!$Q$335,"",$H141+1),"")</f>
        <v/>
      </c>
      <c r="I142" s="210" t="str">
        <f>_xlfn.XLOOKUP($H142,'(backend scoring)'!$S$2:$S$333,'(backend scoring)'!$A$2:$A$333,"")</f>
        <v/>
      </c>
      <c r="J142" s="210" t="str">
        <f>IFERROR(VLOOKUP($I142,'Institution Evaluation'!$A$55:$F$346,2,0),IFERROR(VLOOKUP($I142,'Privacy Analyst Evaluation'!$A$46:$F$120,2,0),""))</f>
        <v/>
      </c>
      <c r="K142" s="210" t="str">
        <f>IFERROR(VLOOKUP($I142,'Institution Evaluation'!$A$55:$F$346,3,0),IFERROR(VLOOKUP($I142,'Privacy Analyst Evaluation'!$A$46:$F$120,3,0),""))&amp;""</f>
        <v/>
      </c>
      <c r="L142" s="210" t="str">
        <f>IFERROR(VLOOKUP($I142,'Institution Evaluation'!$A$55:$F$346,4,0),IFERROR(VLOOKUP($I142,'Privacy Analyst Evaluation'!$A$46:$F$120,4,0),""))&amp;""</f>
        <v/>
      </c>
      <c r="M142" s="210"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2">
      <c r="A143" s="210" t="str">
        <f>IFERROR(IF($A142+1&gt;'(backend scoring)'!$T$335,"",$A142+1),"")</f>
        <v/>
      </c>
      <c r="B143" s="210" t="str">
        <f>_xlfn.XLOOKUP($A143,'(backend scoring)'!$V$2:$V$333,'(backend scoring)'!$A$2:$A$333,"")</f>
        <v/>
      </c>
      <c r="C143" s="210" t="str">
        <f>IFERROR(VLOOKUP($B143,'Institution Evaluation'!$A$55:$F$346,2,0),IFERROR(VLOOKUP($B143,'Privacy Analyst Evaluation'!$A$46:$F$120,2,0),""))&amp;""</f>
        <v/>
      </c>
      <c r="D143" s="210" t="str">
        <f>IFERROR(VLOOKUP($B143,'Institution Evaluation'!$A$55:$F$346,3,0),IFERROR(VLOOKUP($B143,'Privacy Analyst Evaluation'!$A$46:$F$120,3,0),""))&amp;""</f>
        <v/>
      </c>
      <c r="E143" s="210" t="str">
        <f>IFERROR(VLOOKUP($B143,'Institution Evaluation'!$A$55:$F$346,4,0),IFERROR(VLOOKUP($B143,'Privacy Analyst Evaluation'!$A$46:$F$120,4,0),""))&amp;""</f>
        <v/>
      </c>
      <c r="F143" s="210" t="str">
        <f>IFERROR(VLOOKUP($B143,'Institution Evaluation'!$A$55:$F$346,6,0),IFERROR(VLOOKUP($B143,'Privacy Analyst Evaluation'!$A$46:$F$120,6,0),""))&amp;""</f>
        <v/>
      </c>
      <c r="G143" s="211"/>
      <c r="H143" s="210" t="str">
        <f>IFERROR(IF($H142+1&gt;'(backend scoring)'!$Q$335,"",$H142+1),"")</f>
        <v/>
      </c>
      <c r="I143" s="210" t="str">
        <f>_xlfn.XLOOKUP($H143,'(backend scoring)'!$S$2:$S$333,'(backend scoring)'!$A$2:$A$333,"")</f>
        <v/>
      </c>
      <c r="J143" s="210" t="str">
        <f>IFERROR(VLOOKUP($I143,'Institution Evaluation'!$A$55:$F$346,2,0),IFERROR(VLOOKUP($I143,'Privacy Analyst Evaluation'!$A$46:$F$120,2,0),""))</f>
        <v/>
      </c>
      <c r="K143" s="210" t="str">
        <f>IFERROR(VLOOKUP($I143,'Institution Evaluation'!$A$55:$F$346,3,0),IFERROR(VLOOKUP($I143,'Privacy Analyst Evaluation'!$A$46:$F$120,3,0),""))&amp;""</f>
        <v/>
      </c>
      <c r="L143" s="210" t="str">
        <f>IFERROR(VLOOKUP($I143,'Institution Evaluation'!$A$55:$F$346,4,0),IFERROR(VLOOKUP($I143,'Privacy Analyst Evaluation'!$A$46:$F$120,4,0),""))&amp;""</f>
        <v/>
      </c>
      <c r="M143" s="210"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2">
      <c r="A144" s="210" t="str">
        <f>IFERROR(IF($A143+1&gt;'(backend scoring)'!$T$335,"",$A143+1),"")</f>
        <v/>
      </c>
      <c r="B144" s="210" t="str">
        <f>_xlfn.XLOOKUP($A144,'(backend scoring)'!$V$2:$V$333,'(backend scoring)'!$A$2:$A$333,"")</f>
        <v/>
      </c>
      <c r="C144" s="210" t="str">
        <f>IFERROR(VLOOKUP($B144,'Institution Evaluation'!$A$55:$F$346,2,0),IFERROR(VLOOKUP($B144,'Privacy Analyst Evaluation'!$A$46:$F$120,2,0),""))&amp;""</f>
        <v/>
      </c>
      <c r="D144" s="210" t="str">
        <f>IFERROR(VLOOKUP($B144,'Institution Evaluation'!$A$55:$F$346,3,0),IFERROR(VLOOKUP($B144,'Privacy Analyst Evaluation'!$A$46:$F$120,3,0),""))&amp;""</f>
        <v/>
      </c>
      <c r="E144" s="210" t="str">
        <f>IFERROR(VLOOKUP($B144,'Institution Evaluation'!$A$55:$F$346,4,0),IFERROR(VLOOKUP($B144,'Privacy Analyst Evaluation'!$A$46:$F$120,4,0),""))&amp;""</f>
        <v/>
      </c>
      <c r="F144" s="210" t="str">
        <f>IFERROR(VLOOKUP($B144,'Institution Evaluation'!$A$55:$F$346,6,0),IFERROR(VLOOKUP($B144,'Privacy Analyst Evaluation'!$A$46:$F$120,6,0),""))&amp;""</f>
        <v/>
      </c>
      <c r="G144" s="211"/>
      <c r="H144" s="210" t="str">
        <f>IFERROR(IF($H143+1&gt;'(backend scoring)'!$Q$335,"",$H143+1),"")</f>
        <v/>
      </c>
      <c r="I144" s="210" t="str">
        <f>_xlfn.XLOOKUP($H144,'(backend scoring)'!$S$2:$S$333,'(backend scoring)'!$A$2:$A$333,"")</f>
        <v/>
      </c>
      <c r="J144" s="210" t="str">
        <f>IFERROR(VLOOKUP($I144,'Institution Evaluation'!$A$55:$F$346,2,0),IFERROR(VLOOKUP($I144,'Privacy Analyst Evaluation'!$A$46:$F$120,2,0),""))</f>
        <v/>
      </c>
      <c r="K144" s="210" t="str">
        <f>IFERROR(VLOOKUP($I144,'Institution Evaluation'!$A$55:$F$346,3,0),IFERROR(VLOOKUP($I144,'Privacy Analyst Evaluation'!$A$46:$F$120,3,0),""))&amp;""</f>
        <v/>
      </c>
      <c r="L144" s="210" t="str">
        <f>IFERROR(VLOOKUP($I144,'Institution Evaluation'!$A$55:$F$346,4,0),IFERROR(VLOOKUP($I144,'Privacy Analyst Evaluation'!$A$46:$F$120,4,0),""))&amp;""</f>
        <v/>
      </c>
      <c r="M144" s="210"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2">
      <c r="A145" s="210" t="str">
        <f>IFERROR(IF($A144+1&gt;'(backend scoring)'!$T$335,"",$A144+1),"")</f>
        <v/>
      </c>
      <c r="B145" s="210" t="str">
        <f>_xlfn.XLOOKUP($A145,'(backend scoring)'!$V$2:$V$333,'(backend scoring)'!$A$2:$A$333,"")</f>
        <v/>
      </c>
      <c r="C145" s="210" t="str">
        <f>IFERROR(VLOOKUP($B145,'Institution Evaluation'!$A$55:$F$346,2,0),IFERROR(VLOOKUP($B145,'Privacy Analyst Evaluation'!$A$46:$F$120,2,0),""))&amp;""</f>
        <v/>
      </c>
      <c r="D145" s="210" t="str">
        <f>IFERROR(VLOOKUP($B145,'Institution Evaluation'!$A$55:$F$346,3,0),IFERROR(VLOOKUP($B145,'Privacy Analyst Evaluation'!$A$46:$F$120,3,0),""))&amp;""</f>
        <v/>
      </c>
      <c r="E145" s="210" t="str">
        <f>IFERROR(VLOOKUP($B145,'Institution Evaluation'!$A$55:$F$346,4,0),IFERROR(VLOOKUP($B145,'Privacy Analyst Evaluation'!$A$46:$F$120,4,0),""))&amp;""</f>
        <v/>
      </c>
      <c r="F145" s="210" t="str">
        <f>IFERROR(VLOOKUP($B145,'Institution Evaluation'!$A$55:$F$346,6,0),IFERROR(VLOOKUP($B145,'Privacy Analyst Evaluation'!$A$46:$F$120,6,0),""))&amp;""</f>
        <v/>
      </c>
      <c r="G145" s="211"/>
      <c r="H145" s="210" t="str">
        <f>IFERROR(IF($H144+1&gt;'(backend scoring)'!$Q$335,"",$H144+1),"")</f>
        <v/>
      </c>
      <c r="I145" s="210" t="str">
        <f>_xlfn.XLOOKUP($H145,'(backend scoring)'!$S$2:$S$333,'(backend scoring)'!$A$2:$A$333,"")</f>
        <v/>
      </c>
      <c r="J145" s="210" t="str">
        <f>IFERROR(VLOOKUP($I145,'Institution Evaluation'!$A$55:$F$346,2,0),IFERROR(VLOOKUP($I145,'Privacy Analyst Evaluation'!$A$46:$F$120,2,0),""))</f>
        <v/>
      </c>
      <c r="K145" s="210" t="str">
        <f>IFERROR(VLOOKUP($I145,'Institution Evaluation'!$A$55:$F$346,3,0),IFERROR(VLOOKUP($I145,'Privacy Analyst Evaluation'!$A$46:$F$120,3,0),""))&amp;""</f>
        <v/>
      </c>
      <c r="L145" s="210" t="str">
        <f>IFERROR(VLOOKUP($I145,'Institution Evaluation'!$A$55:$F$346,4,0),IFERROR(VLOOKUP($I145,'Privacy Analyst Evaluation'!$A$46:$F$120,4,0),""))&amp;""</f>
        <v/>
      </c>
      <c r="M145" s="210"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2">
      <c r="A146" s="210" t="str">
        <f>IFERROR(IF($A145+1&gt;'(backend scoring)'!$T$335,"",$A145+1),"")</f>
        <v/>
      </c>
      <c r="B146" s="210" t="str">
        <f>_xlfn.XLOOKUP($A146,'(backend scoring)'!$V$2:$V$333,'(backend scoring)'!$A$2:$A$333,"")</f>
        <v/>
      </c>
      <c r="C146" s="210" t="str">
        <f>IFERROR(VLOOKUP($B146,'Institution Evaluation'!$A$55:$F$346,2,0),IFERROR(VLOOKUP($B146,'Privacy Analyst Evaluation'!$A$46:$F$120,2,0),""))&amp;""</f>
        <v/>
      </c>
      <c r="D146" s="210" t="str">
        <f>IFERROR(VLOOKUP($B146,'Institution Evaluation'!$A$55:$F$346,3,0),IFERROR(VLOOKUP($B146,'Privacy Analyst Evaluation'!$A$46:$F$120,3,0),""))&amp;""</f>
        <v/>
      </c>
      <c r="E146" s="210" t="str">
        <f>IFERROR(VLOOKUP($B146,'Institution Evaluation'!$A$55:$F$346,4,0),IFERROR(VLOOKUP($B146,'Privacy Analyst Evaluation'!$A$46:$F$120,4,0),""))&amp;""</f>
        <v/>
      </c>
      <c r="F146" s="210" t="str">
        <f>IFERROR(VLOOKUP($B146,'Institution Evaluation'!$A$55:$F$346,6,0),IFERROR(VLOOKUP($B146,'Privacy Analyst Evaluation'!$A$46:$F$120,6,0),""))&amp;""</f>
        <v/>
      </c>
      <c r="G146" s="211"/>
      <c r="H146" s="210" t="str">
        <f>IFERROR(IF($H145+1&gt;'(backend scoring)'!$Q$335,"",$H145+1),"")</f>
        <v/>
      </c>
      <c r="I146" s="210" t="str">
        <f>_xlfn.XLOOKUP($H146,'(backend scoring)'!$S$2:$S$333,'(backend scoring)'!$A$2:$A$333,"")</f>
        <v/>
      </c>
      <c r="J146" s="210" t="str">
        <f>IFERROR(VLOOKUP($I146,'Institution Evaluation'!$A$55:$F$346,2,0),IFERROR(VLOOKUP($I146,'Privacy Analyst Evaluation'!$A$46:$F$120,2,0),""))</f>
        <v/>
      </c>
      <c r="K146" s="210" t="str">
        <f>IFERROR(VLOOKUP($I146,'Institution Evaluation'!$A$55:$F$346,3,0),IFERROR(VLOOKUP($I146,'Privacy Analyst Evaluation'!$A$46:$F$120,3,0),""))&amp;""</f>
        <v/>
      </c>
      <c r="L146" s="210" t="str">
        <f>IFERROR(VLOOKUP($I146,'Institution Evaluation'!$A$55:$F$346,4,0),IFERROR(VLOOKUP($I146,'Privacy Analyst Evaluation'!$A$46:$F$120,4,0),""))&amp;""</f>
        <v/>
      </c>
      <c r="M146" s="210"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2">
      <c r="A147" s="210" t="str">
        <f>IFERROR(IF($A146+1&gt;'(backend scoring)'!$T$335,"",$A146+1),"")</f>
        <v/>
      </c>
      <c r="B147" s="210" t="str">
        <f>_xlfn.XLOOKUP($A147,'(backend scoring)'!$V$2:$V$333,'(backend scoring)'!$A$2:$A$333,"")</f>
        <v/>
      </c>
      <c r="C147" s="210" t="str">
        <f>IFERROR(VLOOKUP($B147,'Institution Evaluation'!$A$55:$F$346,2,0),IFERROR(VLOOKUP($B147,'Privacy Analyst Evaluation'!$A$46:$F$120,2,0),""))&amp;""</f>
        <v/>
      </c>
      <c r="D147" s="210" t="str">
        <f>IFERROR(VLOOKUP($B147,'Institution Evaluation'!$A$55:$F$346,3,0),IFERROR(VLOOKUP($B147,'Privacy Analyst Evaluation'!$A$46:$F$120,3,0),""))&amp;""</f>
        <v/>
      </c>
      <c r="E147" s="210" t="str">
        <f>IFERROR(VLOOKUP($B147,'Institution Evaluation'!$A$55:$F$346,4,0),IFERROR(VLOOKUP($B147,'Privacy Analyst Evaluation'!$A$46:$F$120,4,0),""))&amp;""</f>
        <v/>
      </c>
      <c r="F147" s="210" t="str">
        <f>IFERROR(VLOOKUP($B147,'Institution Evaluation'!$A$55:$F$346,6,0),IFERROR(VLOOKUP($B147,'Privacy Analyst Evaluation'!$A$46:$F$120,6,0),""))&amp;""</f>
        <v/>
      </c>
      <c r="G147" s="211"/>
      <c r="H147" s="210" t="str">
        <f>IFERROR(IF($H146+1&gt;'(backend scoring)'!$Q$335,"",$H146+1),"")</f>
        <v/>
      </c>
      <c r="I147" s="210" t="str">
        <f>_xlfn.XLOOKUP($H147,'(backend scoring)'!$S$2:$S$333,'(backend scoring)'!$A$2:$A$333,"")</f>
        <v/>
      </c>
      <c r="J147" s="210" t="str">
        <f>IFERROR(VLOOKUP($I147,'Institution Evaluation'!$A$55:$F$346,2,0),IFERROR(VLOOKUP($I147,'Privacy Analyst Evaluation'!$A$46:$F$120,2,0),""))</f>
        <v/>
      </c>
      <c r="K147" s="210" t="str">
        <f>IFERROR(VLOOKUP($I147,'Institution Evaluation'!$A$55:$F$346,3,0),IFERROR(VLOOKUP($I147,'Privacy Analyst Evaluation'!$A$46:$F$120,3,0),""))&amp;""</f>
        <v/>
      </c>
      <c r="L147" s="210" t="str">
        <f>IFERROR(VLOOKUP($I147,'Institution Evaluation'!$A$55:$F$346,4,0),IFERROR(VLOOKUP($I147,'Privacy Analyst Evaluation'!$A$46:$F$120,4,0),""))&amp;""</f>
        <v/>
      </c>
      <c r="M147" s="210"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2">
      <c r="A148" s="210" t="str">
        <f>IFERROR(IF($A147+1&gt;'(backend scoring)'!$T$335,"",$A147+1),"")</f>
        <v/>
      </c>
      <c r="B148" s="210" t="str">
        <f>_xlfn.XLOOKUP($A148,'(backend scoring)'!$V$2:$V$333,'(backend scoring)'!$A$2:$A$333,"")</f>
        <v/>
      </c>
      <c r="C148" s="210" t="str">
        <f>IFERROR(VLOOKUP($B148,'Institution Evaluation'!$A$55:$F$346,2,0),IFERROR(VLOOKUP($B148,'Privacy Analyst Evaluation'!$A$46:$F$120,2,0),""))&amp;""</f>
        <v/>
      </c>
      <c r="D148" s="210" t="str">
        <f>IFERROR(VLOOKUP($B148,'Institution Evaluation'!$A$55:$F$346,3,0),IFERROR(VLOOKUP($B148,'Privacy Analyst Evaluation'!$A$46:$F$120,3,0),""))&amp;""</f>
        <v/>
      </c>
      <c r="E148" s="210" t="str">
        <f>IFERROR(VLOOKUP($B148,'Institution Evaluation'!$A$55:$F$346,4,0),IFERROR(VLOOKUP($B148,'Privacy Analyst Evaluation'!$A$46:$F$120,4,0),""))&amp;""</f>
        <v/>
      </c>
      <c r="F148" s="210" t="str">
        <f>IFERROR(VLOOKUP($B148,'Institution Evaluation'!$A$55:$F$346,6,0),IFERROR(VLOOKUP($B148,'Privacy Analyst Evaluation'!$A$46:$F$120,6,0),""))&amp;""</f>
        <v/>
      </c>
      <c r="G148" s="211"/>
      <c r="H148" s="210" t="str">
        <f>IFERROR(IF($H147+1&gt;'(backend scoring)'!$Q$335,"",$H147+1),"")</f>
        <v/>
      </c>
      <c r="I148" s="210" t="str">
        <f>_xlfn.XLOOKUP($H148,'(backend scoring)'!$S$2:$S$333,'(backend scoring)'!$A$2:$A$333,"")</f>
        <v/>
      </c>
      <c r="J148" s="210" t="str">
        <f>IFERROR(VLOOKUP($I148,'Institution Evaluation'!$A$55:$F$346,2,0),IFERROR(VLOOKUP($I148,'Privacy Analyst Evaluation'!$A$46:$F$120,2,0),""))</f>
        <v/>
      </c>
      <c r="K148" s="210" t="str">
        <f>IFERROR(VLOOKUP($I148,'Institution Evaluation'!$A$55:$F$346,3,0),IFERROR(VLOOKUP($I148,'Privacy Analyst Evaluation'!$A$46:$F$120,3,0),""))&amp;""</f>
        <v/>
      </c>
      <c r="L148" s="210" t="str">
        <f>IFERROR(VLOOKUP($I148,'Institution Evaluation'!$A$55:$F$346,4,0),IFERROR(VLOOKUP($I148,'Privacy Analyst Evaluation'!$A$46:$F$120,4,0),""))&amp;""</f>
        <v/>
      </c>
      <c r="M148" s="210"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2">
      <c r="A149" s="210" t="str">
        <f>IFERROR(IF($A148+1&gt;'(backend scoring)'!$T$335,"",$A148+1),"")</f>
        <v/>
      </c>
      <c r="B149" s="210" t="str">
        <f>_xlfn.XLOOKUP($A149,'(backend scoring)'!$V$2:$V$333,'(backend scoring)'!$A$2:$A$333,"")</f>
        <v/>
      </c>
      <c r="C149" s="210" t="str">
        <f>IFERROR(VLOOKUP($B149,'Institution Evaluation'!$A$55:$F$346,2,0),IFERROR(VLOOKUP($B149,'Privacy Analyst Evaluation'!$A$46:$F$120,2,0),""))&amp;""</f>
        <v/>
      </c>
      <c r="D149" s="210" t="str">
        <f>IFERROR(VLOOKUP($B149,'Institution Evaluation'!$A$55:$F$346,3,0),IFERROR(VLOOKUP($B149,'Privacy Analyst Evaluation'!$A$46:$F$120,3,0),""))&amp;""</f>
        <v/>
      </c>
      <c r="E149" s="210" t="str">
        <f>IFERROR(VLOOKUP($B149,'Institution Evaluation'!$A$55:$F$346,4,0),IFERROR(VLOOKUP($B149,'Privacy Analyst Evaluation'!$A$46:$F$120,4,0),""))&amp;""</f>
        <v/>
      </c>
      <c r="F149" s="210" t="str">
        <f>IFERROR(VLOOKUP($B149,'Institution Evaluation'!$A$55:$F$346,6,0),IFERROR(VLOOKUP($B149,'Privacy Analyst Evaluation'!$A$46:$F$120,6,0),""))&amp;""</f>
        <v/>
      </c>
      <c r="G149" s="211"/>
      <c r="H149" s="210" t="str">
        <f>IFERROR(IF($H148+1&gt;'(backend scoring)'!$Q$335,"",$H148+1),"")</f>
        <v/>
      </c>
      <c r="I149" s="210" t="str">
        <f>_xlfn.XLOOKUP($H149,'(backend scoring)'!$S$2:$S$333,'(backend scoring)'!$A$2:$A$333,"")</f>
        <v/>
      </c>
      <c r="J149" s="210" t="str">
        <f>IFERROR(VLOOKUP($I149,'Institution Evaluation'!$A$55:$F$346,2,0),IFERROR(VLOOKUP($I149,'Privacy Analyst Evaluation'!$A$46:$F$120,2,0),""))</f>
        <v/>
      </c>
      <c r="K149" s="210" t="str">
        <f>IFERROR(VLOOKUP($I149,'Institution Evaluation'!$A$55:$F$346,3,0),IFERROR(VLOOKUP($I149,'Privacy Analyst Evaluation'!$A$46:$F$120,3,0),""))&amp;""</f>
        <v/>
      </c>
      <c r="L149" s="210" t="str">
        <f>IFERROR(VLOOKUP($I149,'Institution Evaluation'!$A$55:$F$346,4,0),IFERROR(VLOOKUP($I149,'Privacy Analyst Evaluation'!$A$46:$F$120,4,0),""))&amp;""</f>
        <v/>
      </c>
      <c r="M149" s="210"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2">
      <c r="A150" s="210" t="str">
        <f>IFERROR(IF($A149+1&gt;'(backend scoring)'!$T$335,"",$A149+1),"")</f>
        <v/>
      </c>
      <c r="B150" s="210" t="str">
        <f>_xlfn.XLOOKUP($A150,'(backend scoring)'!$V$2:$V$333,'(backend scoring)'!$A$2:$A$333,"")</f>
        <v/>
      </c>
      <c r="C150" s="210" t="str">
        <f>IFERROR(VLOOKUP($B150,'Institution Evaluation'!$A$55:$F$346,2,0),IFERROR(VLOOKUP($B150,'Privacy Analyst Evaluation'!$A$46:$F$120,2,0),""))&amp;""</f>
        <v/>
      </c>
      <c r="D150" s="210" t="str">
        <f>IFERROR(VLOOKUP($B150,'Institution Evaluation'!$A$55:$F$346,3,0),IFERROR(VLOOKUP($B150,'Privacy Analyst Evaluation'!$A$46:$F$120,3,0),""))&amp;""</f>
        <v/>
      </c>
      <c r="E150" s="210" t="str">
        <f>IFERROR(VLOOKUP($B150,'Institution Evaluation'!$A$55:$F$346,4,0),IFERROR(VLOOKUP($B150,'Privacy Analyst Evaluation'!$A$46:$F$120,4,0),""))&amp;""</f>
        <v/>
      </c>
      <c r="F150" s="210" t="str">
        <f>IFERROR(VLOOKUP($B150,'Institution Evaluation'!$A$55:$F$346,6,0),IFERROR(VLOOKUP($B150,'Privacy Analyst Evaluation'!$A$46:$F$120,6,0),""))&amp;""</f>
        <v/>
      </c>
      <c r="G150" s="211"/>
      <c r="H150" s="210" t="str">
        <f>IFERROR(IF($H149+1&gt;'(backend scoring)'!$Q$335,"",$H149+1),"")</f>
        <v/>
      </c>
      <c r="I150" s="210" t="str">
        <f>_xlfn.XLOOKUP($H150,'(backend scoring)'!$S$2:$S$333,'(backend scoring)'!$A$2:$A$333,"")</f>
        <v/>
      </c>
      <c r="J150" s="210" t="str">
        <f>IFERROR(VLOOKUP($I150,'Institution Evaluation'!$A$55:$F$346,2,0),IFERROR(VLOOKUP($I150,'Privacy Analyst Evaluation'!$A$46:$F$120,2,0),""))</f>
        <v/>
      </c>
      <c r="K150" s="210" t="str">
        <f>IFERROR(VLOOKUP($I150,'Institution Evaluation'!$A$55:$F$346,3,0),IFERROR(VLOOKUP($I150,'Privacy Analyst Evaluation'!$A$46:$F$120,3,0),""))&amp;""</f>
        <v/>
      </c>
      <c r="L150" s="210" t="str">
        <f>IFERROR(VLOOKUP($I150,'Institution Evaluation'!$A$55:$F$346,4,0),IFERROR(VLOOKUP($I150,'Privacy Analyst Evaluation'!$A$46:$F$120,4,0),""))&amp;""</f>
        <v/>
      </c>
      <c r="M150" s="210"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2">
      <c r="A151" s="210" t="str">
        <f>IFERROR(IF($A150+1&gt;'(backend scoring)'!$T$335,"",$A150+1),"")</f>
        <v/>
      </c>
      <c r="B151" s="210" t="str">
        <f>_xlfn.XLOOKUP($A151,'(backend scoring)'!$V$2:$V$333,'(backend scoring)'!$A$2:$A$333,"")</f>
        <v/>
      </c>
      <c r="C151" s="210" t="str">
        <f>IFERROR(VLOOKUP($B151,'Institution Evaluation'!$A$55:$F$346,2,0),IFERROR(VLOOKUP($B151,'Privacy Analyst Evaluation'!$A$46:$F$120,2,0),""))&amp;""</f>
        <v/>
      </c>
      <c r="D151" s="210" t="str">
        <f>IFERROR(VLOOKUP($B151,'Institution Evaluation'!$A$55:$F$346,3,0),IFERROR(VLOOKUP($B151,'Privacy Analyst Evaluation'!$A$46:$F$120,3,0),""))&amp;""</f>
        <v/>
      </c>
      <c r="E151" s="210" t="str">
        <f>IFERROR(VLOOKUP($B151,'Institution Evaluation'!$A$55:$F$346,4,0),IFERROR(VLOOKUP($B151,'Privacy Analyst Evaluation'!$A$46:$F$120,4,0),""))&amp;""</f>
        <v/>
      </c>
      <c r="F151" s="210" t="str">
        <f>IFERROR(VLOOKUP($B151,'Institution Evaluation'!$A$55:$F$346,6,0),IFERROR(VLOOKUP($B151,'Privacy Analyst Evaluation'!$A$46:$F$120,6,0),""))&amp;""</f>
        <v/>
      </c>
      <c r="G151" s="211"/>
      <c r="H151" s="210" t="str">
        <f>IFERROR(IF($H150+1&gt;'(backend scoring)'!$Q$335,"",$H150+1),"")</f>
        <v/>
      </c>
      <c r="I151" s="210" t="str">
        <f>_xlfn.XLOOKUP($H151,'(backend scoring)'!$S$2:$S$333,'(backend scoring)'!$A$2:$A$333,"")</f>
        <v/>
      </c>
      <c r="J151" s="210" t="str">
        <f>IFERROR(VLOOKUP($I151,'Institution Evaluation'!$A$55:$F$346,2,0),IFERROR(VLOOKUP($I151,'Privacy Analyst Evaluation'!$A$46:$F$120,2,0),""))</f>
        <v/>
      </c>
      <c r="K151" s="210" t="str">
        <f>IFERROR(VLOOKUP($I151,'Institution Evaluation'!$A$55:$F$346,3,0),IFERROR(VLOOKUP($I151,'Privacy Analyst Evaluation'!$A$46:$F$120,3,0),""))&amp;""</f>
        <v/>
      </c>
      <c r="L151" s="210" t="str">
        <f>IFERROR(VLOOKUP($I151,'Institution Evaluation'!$A$55:$F$346,4,0),IFERROR(VLOOKUP($I151,'Privacy Analyst Evaluation'!$A$46:$F$120,4,0),""))&amp;""</f>
        <v/>
      </c>
      <c r="M151" s="210"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2">
      <c r="A152" s="210" t="str">
        <f>IFERROR(IF($A151+1&gt;'(backend scoring)'!$T$335,"",$A151+1),"")</f>
        <v/>
      </c>
      <c r="B152" s="210" t="str">
        <f>_xlfn.XLOOKUP($A152,'(backend scoring)'!$V$2:$V$333,'(backend scoring)'!$A$2:$A$333,"")</f>
        <v/>
      </c>
      <c r="C152" s="210" t="str">
        <f>IFERROR(VLOOKUP($B152,'Institution Evaluation'!$A$55:$F$346,2,0),IFERROR(VLOOKUP($B152,'Privacy Analyst Evaluation'!$A$46:$F$120,2,0),""))&amp;""</f>
        <v/>
      </c>
      <c r="D152" s="210" t="str">
        <f>IFERROR(VLOOKUP($B152,'Institution Evaluation'!$A$55:$F$346,3,0),IFERROR(VLOOKUP($B152,'Privacy Analyst Evaluation'!$A$46:$F$120,3,0),""))&amp;""</f>
        <v/>
      </c>
      <c r="E152" s="210" t="str">
        <f>IFERROR(VLOOKUP($B152,'Institution Evaluation'!$A$55:$F$346,4,0),IFERROR(VLOOKUP($B152,'Privacy Analyst Evaluation'!$A$46:$F$120,4,0),""))&amp;""</f>
        <v/>
      </c>
      <c r="F152" s="210" t="str">
        <f>IFERROR(VLOOKUP($B152,'Institution Evaluation'!$A$55:$F$346,6,0),IFERROR(VLOOKUP($B152,'Privacy Analyst Evaluation'!$A$46:$F$120,6,0),""))&amp;""</f>
        <v/>
      </c>
      <c r="G152" s="211"/>
      <c r="H152" s="210" t="str">
        <f>IFERROR(IF($H151+1&gt;'(backend scoring)'!$Q$335,"",$H151+1),"")</f>
        <v/>
      </c>
      <c r="I152" s="210" t="str">
        <f>_xlfn.XLOOKUP($H152,'(backend scoring)'!$S$2:$S$333,'(backend scoring)'!$A$2:$A$333,"")</f>
        <v/>
      </c>
      <c r="J152" s="210" t="str">
        <f>IFERROR(VLOOKUP($I152,'Institution Evaluation'!$A$55:$F$346,2,0),IFERROR(VLOOKUP($I152,'Privacy Analyst Evaluation'!$A$46:$F$120,2,0),""))</f>
        <v/>
      </c>
      <c r="K152" s="210" t="str">
        <f>IFERROR(VLOOKUP($I152,'Institution Evaluation'!$A$55:$F$346,3,0),IFERROR(VLOOKUP($I152,'Privacy Analyst Evaluation'!$A$46:$F$120,3,0),""))&amp;""</f>
        <v/>
      </c>
      <c r="L152" s="210" t="str">
        <f>IFERROR(VLOOKUP($I152,'Institution Evaluation'!$A$55:$F$346,4,0),IFERROR(VLOOKUP($I152,'Privacy Analyst Evaluation'!$A$46:$F$120,4,0),""))&amp;""</f>
        <v/>
      </c>
      <c r="M152" s="210"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2">
      <c r="A153" s="210" t="str">
        <f>IFERROR(IF($A152+1&gt;'(backend scoring)'!$T$335,"",$A152+1),"")</f>
        <v/>
      </c>
      <c r="B153" s="210" t="str">
        <f>_xlfn.XLOOKUP($A153,'(backend scoring)'!$V$2:$V$333,'(backend scoring)'!$A$2:$A$333,"")</f>
        <v/>
      </c>
      <c r="C153" s="210" t="str">
        <f>IFERROR(VLOOKUP($B153,'Institution Evaluation'!$A$55:$F$346,2,0),IFERROR(VLOOKUP($B153,'Privacy Analyst Evaluation'!$A$46:$F$120,2,0),""))&amp;""</f>
        <v/>
      </c>
      <c r="D153" s="210" t="str">
        <f>IFERROR(VLOOKUP($B153,'Institution Evaluation'!$A$55:$F$346,3,0),IFERROR(VLOOKUP($B153,'Privacy Analyst Evaluation'!$A$46:$F$120,3,0),""))&amp;""</f>
        <v/>
      </c>
      <c r="E153" s="210" t="str">
        <f>IFERROR(VLOOKUP($B153,'Institution Evaluation'!$A$55:$F$346,4,0),IFERROR(VLOOKUP($B153,'Privacy Analyst Evaluation'!$A$46:$F$120,4,0),""))&amp;""</f>
        <v/>
      </c>
      <c r="F153" s="210" t="str">
        <f>IFERROR(VLOOKUP($B153,'Institution Evaluation'!$A$55:$F$346,6,0),IFERROR(VLOOKUP($B153,'Privacy Analyst Evaluation'!$A$46:$F$120,6,0),""))&amp;""</f>
        <v/>
      </c>
      <c r="G153" s="211"/>
      <c r="H153" s="210" t="str">
        <f>IFERROR(IF($H152+1&gt;'(backend scoring)'!$Q$335,"",$H152+1),"")</f>
        <v/>
      </c>
      <c r="I153" s="210" t="str">
        <f>_xlfn.XLOOKUP($H153,'(backend scoring)'!$S$2:$S$333,'(backend scoring)'!$A$2:$A$333,"")</f>
        <v/>
      </c>
      <c r="J153" s="210" t="str">
        <f>IFERROR(VLOOKUP($I153,'Institution Evaluation'!$A$55:$F$346,2,0),IFERROR(VLOOKUP($I153,'Privacy Analyst Evaluation'!$A$46:$F$120,2,0),""))</f>
        <v/>
      </c>
      <c r="K153" s="210" t="str">
        <f>IFERROR(VLOOKUP($I153,'Institution Evaluation'!$A$55:$F$346,3,0),IFERROR(VLOOKUP($I153,'Privacy Analyst Evaluation'!$A$46:$F$120,3,0),""))&amp;""</f>
        <v/>
      </c>
      <c r="L153" s="210" t="str">
        <f>IFERROR(VLOOKUP($I153,'Institution Evaluation'!$A$55:$F$346,4,0),IFERROR(VLOOKUP($I153,'Privacy Analyst Evaluation'!$A$46:$F$120,4,0),""))&amp;""</f>
        <v/>
      </c>
      <c r="M153" s="210"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2">
      <c r="A154" s="210" t="str">
        <f>IFERROR(IF($A153+1&gt;'(backend scoring)'!$T$335,"",$A153+1),"")</f>
        <v/>
      </c>
      <c r="B154" s="210" t="str">
        <f>_xlfn.XLOOKUP($A154,'(backend scoring)'!$V$2:$V$333,'(backend scoring)'!$A$2:$A$333,"")</f>
        <v/>
      </c>
      <c r="C154" s="210" t="str">
        <f>IFERROR(VLOOKUP($B154,'Institution Evaluation'!$A$55:$F$346,2,0),IFERROR(VLOOKUP($B154,'Privacy Analyst Evaluation'!$A$46:$F$120,2,0),""))&amp;""</f>
        <v/>
      </c>
      <c r="D154" s="210" t="str">
        <f>IFERROR(VLOOKUP($B154,'Institution Evaluation'!$A$55:$F$346,3,0),IFERROR(VLOOKUP($B154,'Privacy Analyst Evaluation'!$A$46:$F$120,3,0),""))&amp;""</f>
        <v/>
      </c>
      <c r="E154" s="210" t="str">
        <f>IFERROR(VLOOKUP($B154,'Institution Evaluation'!$A$55:$F$346,4,0),IFERROR(VLOOKUP($B154,'Privacy Analyst Evaluation'!$A$46:$F$120,4,0),""))&amp;""</f>
        <v/>
      </c>
      <c r="F154" s="210" t="str">
        <f>IFERROR(VLOOKUP($B154,'Institution Evaluation'!$A$55:$F$346,6,0),IFERROR(VLOOKUP($B154,'Privacy Analyst Evaluation'!$A$46:$F$120,6,0),""))&amp;""</f>
        <v/>
      </c>
      <c r="G154" s="211"/>
      <c r="H154" s="210" t="str">
        <f>IFERROR(IF($H153+1&gt;'(backend scoring)'!$Q$335,"",$H153+1),"")</f>
        <v/>
      </c>
      <c r="I154" s="210" t="str">
        <f>_xlfn.XLOOKUP($H154,'(backend scoring)'!$S$2:$S$333,'(backend scoring)'!$A$2:$A$333,"")</f>
        <v/>
      </c>
      <c r="J154" s="210" t="str">
        <f>IFERROR(VLOOKUP($I154,'Institution Evaluation'!$A$55:$F$346,2,0),IFERROR(VLOOKUP($I154,'Privacy Analyst Evaluation'!$A$46:$F$120,2,0),""))</f>
        <v/>
      </c>
      <c r="K154" s="210" t="str">
        <f>IFERROR(VLOOKUP($I154,'Institution Evaluation'!$A$55:$F$346,3,0),IFERROR(VLOOKUP($I154,'Privacy Analyst Evaluation'!$A$46:$F$120,3,0),""))&amp;""</f>
        <v/>
      </c>
      <c r="L154" s="210" t="str">
        <f>IFERROR(VLOOKUP($I154,'Institution Evaluation'!$A$55:$F$346,4,0),IFERROR(VLOOKUP($I154,'Privacy Analyst Evaluation'!$A$46:$F$120,4,0),""))&amp;""</f>
        <v/>
      </c>
      <c r="M154" s="210"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2">
      <c r="A155" s="210" t="str">
        <f>IFERROR(IF($A154+1&gt;'(backend scoring)'!$T$335,"",$A154+1),"")</f>
        <v/>
      </c>
      <c r="B155" s="210" t="str">
        <f>_xlfn.XLOOKUP($A155,'(backend scoring)'!$V$2:$V$333,'(backend scoring)'!$A$2:$A$333,"")</f>
        <v/>
      </c>
      <c r="C155" s="210" t="str">
        <f>IFERROR(VLOOKUP($B155,'Institution Evaluation'!$A$55:$F$346,2,0),IFERROR(VLOOKUP($B155,'Privacy Analyst Evaluation'!$A$46:$F$120,2,0),""))&amp;""</f>
        <v/>
      </c>
      <c r="D155" s="210" t="str">
        <f>IFERROR(VLOOKUP($B155,'Institution Evaluation'!$A$55:$F$346,3,0),IFERROR(VLOOKUP($B155,'Privacy Analyst Evaluation'!$A$46:$F$120,3,0),""))&amp;""</f>
        <v/>
      </c>
      <c r="E155" s="210" t="str">
        <f>IFERROR(VLOOKUP($B155,'Institution Evaluation'!$A$55:$F$346,4,0),IFERROR(VLOOKUP($B155,'Privacy Analyst Evaluation'!$A$46:$F$120,4,0),""))&amp;""</f>
        <v/>
      </c>
      <c r="F155" s="210" t="str">
        <f>IFERROR(VLOOKUP($B155,'Institution Evaluation'!$A$55:$F$346,6,0),IFERROR(VLOOKUP($B155,'Privacy Analyst Evaluation'!$A$46:$F$120,6,0),""))&amp;""</f>
        <v/>
      </c>
      <c r="G155" s="211"/>
      <c r="H155" s="210" t="str">
        <f>IFERROR(IF($H154+1&gt;'(backend scoring)'!$Q$335,"",$H154+1),"")</f>
        <v/>
      </c>
      <c r="I155" s="210" t="str">
        <f>_xlfn.XLOOKUP($H155,'(backend scoring)'!$S$2:$S$333,'(backend scoring)'!$A$2:$A$333,"")</f>
        <v/>
      </c>
      <c r="J155" s="210" t="str">
        <f>IFERROR(VLOOKUP($I155,'Institution Evaluation'!$A$55:$F$346,2,0),IFERROR(VLOOKUP($I155,'Privacy Analyst Evaluation'!$A$46:$F$120,2,0),""))</f>
        <v/>
      </c>
      <c r="K155" s="210" t="str">
        <f>IFERROR(VLOOKUP($I155,'Institution Evaluation'!$A$55:$F$346,3,0),IFERROR(VLOOKUP($I155,'Privacy Analyst Evaluation'!$A$46:$F$120,3,0),""))&amp;""</f>
        <v/>
      </c>
      <c r="L155" s="210" t="str">
        <f>IFERROR(VLOOKUP($I155,'Institution Evaluation'!$A$55:$F$346,4,0),IFERROR(VLOOKUP($I155,'Privacy Analyst Evaluation'!$A$46:$F$120,4,0),""))&amp;""</f>
        <v/>
      </c>
      <c r="M155" s="210"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2">
      <c r="A156" s="210" t="str">
        <f>IFERROR(IF($A155+1&gt;'(backend scoring)'!$T$335,"",$A155+1),"")</f>
        <v/>
      </c>
      <c r="B156" s="210" t="str">
        <f>_xlfn.XLOOKUP($A156,'(backend scoring)'!$V$2:$V$333,'(backend scoring)'!$A$2:$A$333,"")</f>
        <v/>
      </c>
      <c r="C156" s="210" t="str">
        <f>IFERROR(VLOOKUP($B156,'Institution Evaluation'!$A$55:$F$346,2,0),IFERROR(VLOOKUP($B156,'Privacy Analyst Evaluation'!$A$46:$F$120,2,0),""))&amp;""</f>
        <v/>
      </c>
      <c r="D156" s="210" t="str">
        <f>IFERROR(VLOOKUP($B156,'Institution Evaluation'!$A$55:$F$346,3,0),IFERROR(VLOOKUP($B156,'Privacy Analyst Evaluation'!$A$46:$F$120,3,0),""))&amp;""</f>
        <v/>
      </c>
      <c r="E156" s="210" t="str">
        <f>IFERROR(VLOOKUP($B156,'Institution Evaluation'!$A$55:$F$346,4,0),IFERROR(VLOOKUP($B156,'Privacy Analyst Evaluation'!$A$46:$F$120,4,0),""))&amp;""</f>
        <v/>
      </c>
      <c r="F156" s="210" t="str">
        <f>IFERROR(VLOOKUP($B156,'Institution Evaluation'!$A$55:$F$346,6,0),IFERROR(VLOOKUP($B156,'Privacy Analyst Evaluation'!$A$46:$F$120,6,0),""))&amp;""</f>
        <v/>
      </c>
      <c r="G156" s="211"/>
      <c r="H156" s="210" t="str">
        <f>IFERROR(IF($H155+1&gt;'(backend scoring)'!$Q$335,"",$H155+1),"")</f>
        <v/>
      </c>
      <c r="I156" s="210" t="str">
        <f>_xlfn.XLOOKUP($H156,'(backend scoring)'!$S$2:$S$333,'(backend scoring)'!$A$2:$A$333,"")</f>
        <v/>
      </c>
      <c r="J156" s="210" t="str">
        <f>IFERROR(VLOOKUP($I156,'Institution Evaluation'!$A$55:$F$346,2,0),IFERROR(VLOOKUP($I156,'Privacy Analyst Evaluation'!$A$46:$F$120,2,0),""))</f>
        <v/>
      </c>
      <c r="K156" s="210" t="str">
        <f>IFERROR(VLOOKUP($I156,'Institution Evaluation'!$A$55:$F$346,3,0),IFERROR(VLOOKUP($I156,'Privacy Analyst Evaluation'!$A$46:$F$120,3,0),""))&amp;""</f>
        <v/>
      </c>
      <c r="L156" s="210" t="str">
        <f>IFERROR(VLOOKUP($I156,'Institution Evaluation'!$A$55:$F$346,4,0),IFERROR(VLOOKUP($I156,'Privacy Analyst Evaluation'!$A$46:$F$120,4,0),""))&amp;""</f>
        <v/>
      </c>
      <c r="M156" s="210"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2">
      <c r="A157" s="210" t="str">
        <f>IFERROR(IF($A156+1&gt;'(backend scoring)'!$T$335,"",$A156+1),"")</f>
        <v/>
      </c>
      <c r="B157" s="210" t="str">
        <f>_xlfn.XLOOKUP($A157,'(backend scoring)'!$V$2:$V$333,'(backend scoring)'!$A$2:$A$333,"")</f>
        <v/>
      </c>
      <c r="C157" s="210" t="str">
        <f>IFERROR(VLOOKUP($B157,'Institution Evaluation'!$A$55:$F$346,2,0),IFERROR(VLOOKUP($B157,'Privacy Analyst Evaluation'!$A$46:$F$120,2,0),""))&amp;""</f>
        <v/>
      </c>
      <c r="D157" s="210" t="str">
        <f>IFERROR(VLOOKUP($B157,'Institution Evaluation'!$A$55:$F$346,3,0),IFERROR(VLOOKUP($B157,'Privacy Analyst Evaluation'!$A$46:$F$120,3,0),""))&amp;""</f>
        <v/>
      </c>
      <c r="E157" s="210" t="str">
        <f>IFERROR(VLOOKUP($B157,'Institution Evaluation'!$A$55:$F$346,4,0),IFERROR(VLOOKUP($B157,'Privacy Analyst Evaluation'!$A$46:$F$120,4,0),""))&amp;""</f>
        <v/>
      </c>
      <c r="F157" s="210" t="str">
        <f>IFERROR(VLOOKUP($B157,'Institution Evaluation'!$A$55:$F$346,6,0),IFERROR(VLOOKUP($B157,'Privacy Analyst Evaluation'!$A$46:$F$120,6,0),""))&amp;""</f>
        <v/>
      </c>
      <c r="G157" s="211"/>
      <c r="H157" s="210" t="str">
        <f>IFERROR(IF($H156+1&gt;'(backend scoring)'!$Q$335,"",$H156+1),"")</f>
        <v/>
      </c>
      <c r="I157" s="210" t="str">
        <f>_xlfn.XLOOKUP($H157,'(backend scoring)'!$S$2:$S$333,'(backend scoring)'!$A$2:$A$333,"")</f>
        <v/>
      </c>
      <c r="J157" s="210" t="str">
        <f>IFERROR(VLOOKUP($I157,'Institution Evaluation'!$A$55:$F$346,2,0),IFERROR(VLOOKUP($I157,'Privacy Analyst Evaluation'!$A$46:$F$120,2,0),""))</f>
        <v/>
      </c>
      <c r="K157" s="210" t="str">
        <f>IFERROR(VLOOKUP($I157,'Institution Evaluation'!$A$55:$F$346,3,0),IFERROR(VLOOKUP($I157,'Privacy Analyst Evaluation'!$A$46:$F$120,3,0),""))&amp;""</f>
        <v/>
      </c>
      <c r="L157" s="210" t="str">
        <f>IFERROR(VLOOKUP($I157,'Institution Evaluation'!$A$55:$F$346,4,0),IFERROR(VLOOKUP($I157,'Privacy Analyst Evaluation'!$A$46:$F$120,4,0),""))&amp;""</f>
        <v/>
      </c>
      <c r="M157" s="210"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2">
      <c r="A158" s="210" t="str">
        <f>IFERROR(IF($A157+1&gt;'(backend scoring)'!$T$335,"",$A157+1),"")</f>
        <v/>
      </c>
      <c r="B158" s="210" t="str">
        <f>_xlfn.XLOOKUP($A158,'(backend scoring)'!$V$2:$V$333,'(backend scoring)'!$A$2:$A$333,"")</f>
        <v/>
      </c>
      <c r="C158" s="210" t="str">
        <f>IFERROR(VLOOKUP($B158,'Institution Evaluation'!$A$55:$F$346,2,0),IFERROR(VLOOKUP($B158,'Privacy Analyst Evaluation'!$A$46:$F$120,2,0),""))&amp;""</f>
        <v/>
      </c>
      <c r="D158" s="210" t="str">
        <f>IFERROR(VLOOKUP($B158,'Institution Evaluation'!$A$55:$F$346,3,0),IFERROR(VLOOKUP($B158,'Privacy Analyst Evaluation'!$A$46:$F$120,3,0),""))&amp;""</f>
        <v/>
      </c>
      <c r="E158" s="210" t="str">
        <f>IFERROR(VLOOKUP($B158,'Institution Evaluation'!$A$55:$F$346,4,0),IFERROR(VLOOKUP($B158,'Privacy Analyst Evaluation'!$A$46:$F$120,4,0),""))&amp;""</f>
        <v/>
      </c>
      <c r="F158" s="210" t="str">
        <f>IFERROR(VLOOKUP($B158,'Institution Evaluation'!$A$55:$F$346,6,0),IFERROR(VLOOKUP($B158,'Privacy Analyst Evaluation'!$A$46:$F$120,6,0),""))&amp;""</f>
        <v/>
      </c>
      <c r="G158" s="211"/>
      <c r="H158" s="210" t="str">
        <f>IFERROR(IF($H157+1&gt;'(backend scoring)'!$Q$335,"",$H157+1),"")</f>
        <v/>
      </c>
      <c r="I158" s="210" t="str">
        <f>_xlfn.XLOOKUP($H158,'(backend scoring)'!$S$2:$S$333,'(backend scoring)'!$A$2:$A$333,"")</f>
        <v/>
      </c>
      <c r="J158" s="210" t="str">
        <f>IFERROR(VLOOKUP($I158,'Institution Evaluation'!$A$55:$F$346,2,0),IFERROR(VLOOKUP($I158,'Privacy Analyst Evaluation'!$A$46:$F$120,2,0),""))</f>
        <v/>
      </c>
      <c r="K158" s="210" t="str">
        <f>IFERROR(VLOOKUP($I158,'Institution Evaluation'!$A$55:$F$346,3,0),IFERROR(VLOOKUP($I158,'Privacy Analyst Evaluation'!$A$46:$F$120,3,0),""))&amp;""</f>
        <v/>
      </c>
      <c r="L158" s="210" t="str">
        <f>IFERROR(VLOOKUP($I158,'Institution Evaluation'!$A$55:$F$346,4,0),IFERROR(VLOOKUP($I158,'Privacy Analyst Evaluation'!$A$46:$F$120,4,0),""))&amp;""</f>
        <v/>
      </c>
      <c r="M158" s="210"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2">
      <c r="A159" s="210" t="str">
        <f>IFERROR(IF($A158+1&gt;'(backend scoring)'!$T$335,"",$A158+1),"")</f>
        <v/>
      </c>
      <c r="B159" s="210" t="str">
        <f>_xlfn.XLOOKUP($A159,'(backend scoring)'!$V$2:$V$333,'(backend scoring)'!$A$2:$A$333,"")</f>
        <v/>
      </c>
      <c r="C159" s="210" t="str">
        <f>IFERROR(VLOOKUP($B159,'Institution Evaluation'!$A$55:$F$346,2,0),IFERROR(VLOOKUP($B159,'Privacy Analyst Evaluation'!$A$46:$F$120,2,0),""))&amp;""</f>
        <v/>
      </c>
      <c r="D159" s="210" t="str">
        <f>IFERROR(VLOOKUP($B159,'Institution Evaluation'!$A$55:$F$346,3,0),IFERROR(VLOOKUP($B159,'Privacy Analyst Evaluation'!$A$46:$F$120,3,0),""))&amp;""</f>
        <v/>
      </c>
      <c r="E159" s="210" t="str">
        <f>IFERROR(VLOOKUP($B159,'Institution Evaluation'!$A$55:$F$346,4,0),IFERROR(VLOOKUP($B159,'Privacy Analyst Evaluation'!$A$46:$F$120,4,0),""))&amp;""</f>
        <v/>
      </c>
      <c r="F159" s="210" t="str">
        <f>IFERROR(VLOOKUP($B159,'Institution Evaluation'!$A$55:$F$346,6,0),IFERROR(VLOOKUP($B159,'Privacy Analyst Evaluation'!$A$46:$F$120,6,0),""))&amp;""</f>
        <v/>
      </c>
      <c r="G159" s="211"/>
      <c r="H159" s="210" t="str">
        <f>IFERROR(IF($H158+1&gt;'(backend scoring)'!$Q$335,"",$H158+1),"")</f>
        <v/>
      </c>
      <c r="I159" s="210" t="str">
        <f>_xlfn.XLOOKUP($H159,'(backend scoring)'!$S$2:$S$333,'(backend scoring)'!$A$2:$A$333,"")</f>
        <v/>
      </c>
      <c r="J159" s="210" t="str">
        <f>IFERROR(VLOOKUP($I159,'Institution Evaluation'!$A$55:$F$346,2,0),IFERROR(VLOOKUP($I159,'Privacy Analyst Evaluation'!$A$46:$F$120,2,0),""))</f>
        <v/>
      </c>
      <c r="K159" s="210" t="str">
        <f>IFERROR(VLOOKUP($I159,'Institution Evaluation'!$A$55:$F$346,3,0),IFERROR(VLOOKUP($I159,'Privacy Analyst Evaluation'!$A$46:$F$120,3,0),""))&amp;""</f>
        <v/>
      </c>
      <c r="L159" s="210" t="str">
        <f>IFERROR(VLOOKUP($I159,'Institution Evaluation'!$A$55:$F$346,4,0),IFERROR(VLOOKUP($I159,'Privacy Analyst Evaluation'!$A$46:$F$120,4,0),""))&amp;""</f>
        <v/>
      </c>
      <c r="M159" s="210"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2">
      <c r="A160" s="210" t="str">
        <f>IFERROR(IF($A159+1&gt;'(backend scoring)'!$T$335,"",$A159+1),"")</f>
        <v/>
      </c>
      <c r="B160" s="210" t="str">
        <f>_xlfn.XLOOKUP($A160,'(backend scoring)'!$V$2:$V$333,'(backend scoring)'!$A$2:$A$333,"")</f>
        <v/>
      </c>
      <c r="C160" s="210" t="str">
        <f>IFERROR(VLOOKUP($B160,'Institution Evaluation'!$A$55:$F$346,2,0),IFERROR(VLOOKUP($B160,'Privacy Analyst Evaluation'!$A$46:$F$120,2,0),""))&amp;""</f>
        <v/>
      </c>
      <c r="D160" s="210" t="str">
        <f>IFERROR(VLOOKUP($B160,'Institution Evaluation'!$A$55:$F$346,3,0),IFERROR(VLOOKUP($B160,'Privacy Analyst Evaluation'!$A$46:$F$120,3,0),""))&amp;""</f>
        <v/>
      </c>
      <c r="E160" s="210" t="str">
        <f>IFERROR(VLOOKUP($B160,'Institution Evaluation'!$A$55:$F$346,4,0),IFERROR(VLOOKUP($B160,'Privacy Analyst Evaluation'!$A$46:$F$120,4,0),""))&amp;""</f>
        <v/>
      </c>
      <c r="F160" s="210" t="str">
        <f>IFERROR(VLOOKUP($B160,'Institution Evaluation'!$A$55:$F$346,6,0),IFERROR(VLOOKUP($B160,'Privacy Analyst Evaluation'!$A$46:$F$120,6,0),""))&amp;""</f>
        <v/>
      </c>
      <c r="G160" s="211"/>
      <c r="H160" s="210" t="str">
        <f>IFERROR(IF($H159+1&gt;'(backend scoring)'!$Q$335,"",$H159+1),"")</f>
        <v/>
      </c>
      <c r="I160" s="210" t="str">
        <f>_xlfn.XLOOKUP($H160,'(backend scoring)'!$S$2:$S$333,'(backend scoring)'!$A$2:$A$333,"")</f>
        <v/>
      </c>
      <c r="J160" s="210" t="str">
        <f>IFERROR(VLOOKUP($I160,'Institution Evaluation'!$A$55:$F$346,2,0),IFERROR(VLOOKUP($I160,'Privacy Analyst Evaluation'!$A$46:$F$120,2,0),""))</f>
        <v/>
      </c>
      <c r="K160" s="210" t="str">
        <f>IFERROR(VLOOKUP($I160,'Institution Evaluation'!$A$55:$F$346,3,0),IFERROR(VLOOKUP($I160,'Privacy Analyst Evaluation'!$A$46:$F$120,3,0),""))&amp;""</f>
        <v/>
      </c>
      <c r="L160" s="210" t="str">
        <f>IFERROR(VLOOKUP($I160,'Institution Evaluation'!$A$55:$F$346,4,0),IFERROR(VLOOKUP($I160,'Privacy Analyst Evaluation'!$A$46:$F$120,4,0),""))&amp;""</f>
        <v/>
      </c>
      <c r="M160" s="210"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2">
      <c r="A161" s="210" t="str">
        <f>IFERROR(IF($A160+1&gt;'(backend scoring)'!$T$335,"",$A160+1),"")</f>
        <v/>
      </c>
      <c r="B161" s="210" t="str">
        <f>_xlfn.XLOOKUP($A161,'(backend scoring)'!$V$2:$V$333,'(backend scoring)'!$A$2:$A$333,"")</f>
        <v/>
      </c>
      <c r="C161" s="210" t="str">
        <f>IFERROR(VLOOKUP($B161,'Institution Evaluation'!$A$55:$F$346,2,0),IFERROR(VLOOKUP($B161,'Privacy Analyst Evaluation'!$A$46:$F$120,2,0),""))&amp;""</f>
        <v/>
      </c>
      <c r="D161" s="210" t="str">
        <f>IFERROR(VLOOKUP($B161,'Institution Evaluation'!$A$55:$F$346,3,0),IFERROR(VLOOKUP($B161,'Privacy Analyst Evaluation'!$A$46:$F$120,3,0),""))&amp;""</f>
        <v/>
      </c>
      <c r="E161" s="210" t="str">
        <f>IFERROR(VLOOKUP($B161,'Institution Evaluation'!$A$55:$F$346,4,0),IFERROR(VLOOKUP($B161,'Privacy Analyst Evaluation'!$A$46:$F$120,4,0),""))&amp;""</f>
        <v/>
      </c>
      <c r="F161" s="210" t="str">
        <f>IFERROR(VLOOKUP($B161,'Institution Evaluation'!$A$55:$F$346,6,0),IFERROR(VLOOKUP($B161,'Privacy Analyst Evaluation'!$A$46:$F$120,6,0),""))&amp;""</f>
        <v/>
      </c>
      <c r="G161" s="211"/>
      <c r="H161" s="210" t="str">
        <f>IFERROR(IF($H160+1&gt;'(backend scoring)'!$Q$335,"",$H160+1),"")</f>
        <v/>
      </c>
      <c r="I161" s="210" t="str">
        <f>_xlfn.XLOOKUP($H161,'(backend scoring)'!$S$2:$S$333,'(backend scoring)'!$A$2:$A$333,"")</f>
        <v/>
      </c>
      <c r="J161" s="210" t="str">
        <f>IFERROR(VLOOKUP($I161,'Institution Evaluation'!$A$55:$F$346,2,0),IFERROR(VLOOKUP($I161,'Privacy Analyst Evaluation'!$A$46:$F$120,2,0),""))</f>
        <v/>
      </c>
      <c r="K161" s="210" t="str">
        <f>IFERROR(VLOOKUP($I161,'Institution Evaluation'!$A$55:$F$346,3,0),IFERROR(VLOOKUP($I161,'Privacy Analyst Evaluation'!$A$46:$F$120,3,0),""))&amp;""</f>
        <v/>
      </c>
      <c r="L161" s="210" t="str">
        <f>IFERROR(VLOOKUP($I161,'Institution Evaluation'!$A$55:$F$346,4,0),IFERROR(VLOOKUP($I161,'Privacy Analyst Evaluation'!$A$46:$F$120,4,0),""))&amp;""</f>
        <v/>
      </c>
      <c r="M161" s="210"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2">
      <c r="A162" s="210" t="str">
        <f>IFERROR(IF($A161+1&gt;'(backend scoring)'!$T$335,"",$A161+1),"")</f>
        <v/>
      </c>
      <c r="B162" s="210" t="str">
        <f>_xlfn.XLOOKUP($A162,'(backend scoring)'!$V$2:$V$333,'(backend scoring)'!$A$2:$A$333,"")</f>
        <v/>
      </c>
      <c r="C162" s="210" t="str">
        <f>IFERROR(VLOOKUP($B162,'Institution Evaluation'!$A$55:$F$346,2,0),IFERROR(VLOOKUP($B162,'Privacy Analyst Evaluation'!$A$46:$F$120,2,0),""))&amp;""</f>
        <v/>
      </c>
      <c r="D162" s="210" t="str">
        <f>IFERROR(VLOOKUP($B162,'Institution Evaluation'!$A$55:$F$346,3,0),IFERROR(VLOOKUP($B162,'Privacy Analyst Evaluation'!$A$46:$F$120,3,0),""))&amp;""</f>
        <v/>
      </c>
      <c r="E162" s="210" t="str">
        <f>IFERROR(VLOOKUP($B162,'Institution Evaluation'!$A$55:$F$346,4,0),IFERROR(VLOOKUP($B162,'Privacy Analyst Evaluation'!$A$46:$F$120,4,0),""))&amp;""</f>
        <v/>
      </c>
      <c r="F162" s="210" t="str">
        <f>IFERROR(VLOOKUP($B162,'Institution Evaluation'!$A$55:$F$346,6,0),IFERROR(VLOOKUP($B162,'Privacy Analyst Evaluation'!$A$46:$F$120,6,0),""))&amp;""</f>
        <v/>
      </c>
      <c r="G162" s="211"/>
      <c r="H162" s="210" t="str">
        <f>IFERROR(IF($H161+1&gt;'(backend scoring)'!$Q$335,"",$H161+1),"")</f>
        <v/>
      </c>
      <c r="I162" s="210" t="str">
        <f>_xlfn.XLOOKUP($H162,'(backend scoring)'!$S$2:$S$333,'(backend scoring)'!$A$2:$A$333,"")</f>
        <v/>
      </c>
      <c r="J162" s="210" t="str">
        <f>IFERROR(VLOOKUP($I162,'Institution Evaluation'!$A$55:$F$346,2,0),IFERROR(VLOOKUP($I162,'Privacy Analyst Evaluation'!$A$46:$F$120,2,0),""))</f>
        <v/>
      </c>
      <c r="K162" s="210" t="str">
        <f>IFERROR(VLOOKUP($I162,'Institution Evaluation'!$A$55:$F$346,3,0),IFERROR(VLOOKUP($I162,'Privacy Analyst Evaluation'!$A$46:$F$120,3,0),""))&amp;""</f>
        <v/>
      </c>
      <c r="L162" s="210" t="str">
        <f>IFERROR(VLOOKUP($I162,'Institution Evaluation'!$A$55:$F$346,4,0),IFERROR(VLOOKUP($I162,'Privacy Analyst Evaluation'!$A$46:$F$120,4,0),""))&amp;""</f>
        <v/>
      </c>
      <c r="M162" s="210"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2">
      <c r="A163" s="210" t="str">
        <f>IFERROR(IF($A162+1&gt;'(backend scoring)'!$T$335,"",$A162+1),"")</f>
        <v/>
      </c>
      <c r="B163" s="210" t="str">
        <f>_xlfn.XLOOKUP($A163,'(backend scoring)'!$V$2:$V$333,'(backend scoring)'!$A$2:$A$333,"")</f>
        <v/>
      </c>
      <c r="C163" s="210" t="str">
        <f>IFERROR(VLOOKUP($B163,'Institution Evaluation'!$A$55:$F$346,2,0),IFERROR(VLOOKUP($B163,'Privacy Analyst Evaluation'!$A$46:$F$120,2,0),""))&amp;""</f>
        <v/>
      </c>
      <c r="D163" s="210" t="str">
        <f>IFERROR(VLOOKUP($B163,'Institution Evaluation'!$A$55:$F$346,3,0),IFERROR(VLOOKUP($B163,'Privacy Analyst Evaluation'!$A$46:$F$120,3,0),""))&amp;""</f>
        <v/>
      </c>
      <c r="E163" s="210" t="str">
        <f>IFERROR(VLOOKUP($B163,'Institution Evaluation'!$A$55:$F$346,4,0),IFERROR(VLOOKUP($B163,'Privacy Analyst Evaluation'!$A$46:$F$120,4,0),""))&amp;""</f>
        <v/>
      </c>
      <c r="F163" s="210" t="str">
        <f>IFERROR(VLOOKUP($B163,'Institution Evaluation'!$A$55:$F$346,6,0),IFERROR(VLOOKUP($B163,'Privacy Analyst Evaluation'!$A$46:$F$120,6,0),""))&amp;""</f>
        <v/>
      </c>
      <c r="G163" s="211"/>
      <c r="H163" s="210" t="str">
        <f>IFERROR(IF($H162+1&gt;'(backend scoring)'!$Q$335,"",$H162+1),"")</f>
        <v/>
      </c>
      <c r="I163" s="210" t="str">
        <f>_xlfn.XLOOKUP($H163,'(backend scoring)'!$S$2:$S$333,'(backend scoring)'!$A$2:$A$333,"")</f>
        <v/>
      </c>
      <c r="J163" s="210" t="str">
        <f>IFERROR(VLOOKUP($I163,'Institution Evaluation'!$A$55:$F$346,2,0),IFERROR(VLOOKUP($I163,'Privacy Analyst Evaluation'!$A$46:$F$120,2,0),""))</f>
        <v/>
      </c>
      <c r="K163" s="210" t="str">
        <f>IFERROR(VLOOKUP($I163,'Institution Evaluation'!$A$55:$F$346,3,0),IFERROR(VLOOKUP($I163,'Privacy Analyst Evaluation'!$A$46:$F$120,3,0),""))&amp;""</f>
        <v/>
      </c>
      <c r="L163" s="210" t="str">
        <f>IFERROR(VLOOKUP($I163,'Institution Evaluation'!$A$55:$F$346,4,0),IFERROR(VLOOKUP($I163,'Privacy Analyst Evaluation'!$A$46:$F$120,4,0),""))&amp;""</f>
        <v/>
      </c>
      <c r="M163" s="210"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2">
      <c r="A164" s="210" t="str">
        <f>IFERROR(IF($A163+1&gt;'(backend scoring)'!$T$335,"",$A163+1),"")</f>
        <v/>
      </c>
      <c r="B164" s="210" t="str">
        <f>_xlfn.XLOOKUP($A164,'(backend scoring)'!$V$2:$V$333,'(backend scoring)'!$A$2:$A$333,"")</f>
        <v/>
      </c>
      <c r="C164" s="210" t="str">
        <f>IFERROR(VLOOKUP($B164,'Institution Evaluation'!$A$55:$F$346,2,0),IFERROR(VLOOKUP($B164,'Privacy Analyst Evaluation'!$A$46:$F$120,2,0),""))&amp;""</f>
        <v/>
      </c>
      <c r="D164" s="210" t="str">
        <f>IFERROR(VLOOKUP($B164,'Institution Evaluation'!$A$55:$F$346,3,0),IFERROR(VLOOKUP($B164,'Privacy Analyst Evaluation'!$A$46:$F$120,3,0),""))&amp;""</f>
        <v/>
      </c>
      <c r="E164" s="210" t="str">
        <f>IFERROR(VLOOKUP($B164,'Institution Evaluation'!$A$55:$F$346,4,0),IFERROR(VLOOKUP($B164,'Privacy Analyst Evaluation'!$A$46:$F$120,4,0),""))&amp;""</f>
        <v/>
      </c>
      <c r="F164" s="210" t="str">
        <f>IFERROR(VLOOKUP($B164,'Institution Evaluation'!$A$55:$F$346,6,0),IFERROR(VLOOKUP($B164,'Privacy Analyst Evaluation'!$A$46:$F$120,6,0),""))&amp;""</f>
        <v/>
      </c>
      <c r="G164" s="211"/>
      <c r="H164" s="210" t="str">
        <f>IFERROR(IF($H163+1&gt;'(backend scoring)'!$Q$335,"",$H163+1),"")</f>
        <v/>
      </c>
      <c r="I164" s="210" t="str">
        <f>_xlfn.XLOOKUP($H164,'(backend scoring)'!$S$2:$S$333,'(backend scoring)'!$A$2:$A$333,"")</f>
        <v/>
      </c>
      <c r="J164" s="210" t="str">
        <f>IFERROR(VLOOKUP($I164,'Institution Evaluation'!$A$55:$F$346,2,0),IFERROR(VLOOKUP($I164,'Privacy Analyst Evaluation'!$A$46:$F$120,2,0),""))</f>
        <v/>
      </c>
      <c r="K164" s="210" t="str">
        <f>IFERROR(VLOOKUP($I164,'Institution Evaluation'!$A$55:$F$346,3,0),IFERROR(VLOOKUP($I164,'Privacy Analyst Evaluation'!$A$46:$F$120,3,0),""))&amp;""</f>
        <v/>
      </c>
      <c r="L164" s="210" t="str">
        <f>IFERROR(VLOOKUP($I164,'Institution Evaluation'!$A$55:$F$346,4,0),IFERROR(VLOOKUP($I164,'Privacy Analyst Evaluation'!$A$46:$F$120,4,0),""))&amp;""</f>
        <v/>
      </c>
      <c r="M164" s="210"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2">
      <c r="A165" s="210" t="str">
        <f>IFERROR(IF($A164+1&gt;'(backend scoring)'!$T$335,"",$A164+1),"")</f>
        <v/>
      </c>
      <c r="B165" s="210" t="str">
        <f>_xlfn.XLOOKUP($A165,'(backend scoring)'!$V$2:$V$333,'(backend scoring)'!$A$2:$A$333,"")</f>
        <v/>
      </c>
      <c r="C165" s="210" t="str">
        <f>IFERROR(VLOOKUP($B165,'Institution Evaluation'!$A$55:$F$346,2,0),IFERROR(VLOOKUP($B165,'Privacy Analyst Evaluation'!$A$46:$F$120,2,0),""))&amp;""</f>
        <v/>
      </c>
      <c r="D165" s="210" t="str">
        <f>IFERROR(VLOOKUP($B165,'Institution Evaluation'!$A$55:$F$346,3,0),IFERROR(VLOOKUP($B165,'Privacy Analyst Evaluation'!$A$46:$F$120,3,0),""))&amp;""</f>
        <v/>
      </c>
      <c r="E165" s="210" t="str">
        <f>IFERROR(VLOOKUP($B165,'Institution Evaluation'!$A$55:$F$346,4,0),IFERROR(VLOOKUP($B165,'Privacy Analyst Evaluation'!$A$46:$F$120,4,0),""))&amp;""</f>
        <v/>
      </c>
      <c r="F165" s="210" t="str">
        <f>IFERROR(VLOOKUP($B165,'Institution Evaluation'!$A$55:$F$346,6,0),IFERROR(VLOOKUP($B165,'Privacy Analyst Evaluation'!$A$46:$F$120,6,0),""))&amp;""</f>
        <v/>
      </c>
      <c r="G165" s="211"/>
      <c r="H165" s="210" t="str">
        <f>IFERROR(IF($H164+1&gt;'(backend scoring)'!$Q$335,"",$H164+1),"")</f>
        <v/>
      </c>
      <c r="I165" s="210" t="str">
        <f>_xlfn.XLOOKUP($H165,'(backend scoring)'!$S$2:$S$333,'(backend scoring)'!$A$2:$A$333,"")</f>
        <v/>
      </c>
      <c r="J165" s="210" t="str">
        <f>IFERROR(VLOOKUP($I165,'Institution Evaluation'!$A$55:$F$346,2,0),IFERROR(VLOOKUP($I165,'Privacy Analyst Evaluation'!$A$46:$F$120,2,0),""))</f>
        <v/>
      </c>
      <c r="K165" s="210" t="str">
        <f>IFERROR(VLOOKUP($I165,'Institution Evaluation'!$A$55:$F$346,3,0),IFERROR(VLOOKUP($I165,'Privacy Analyst Evaluation'!$A$46:$F$120,3,0),""))&amp;""</f>
        <v/>
      </c>
      <c r="L165" s="210" t="str">
        <f>IFERROR(VLOOKUP($I165,'Institution Evaluation'!$A$55:$F$346,4,0),IFERROR(VLOOKUP($I165,'Privacy Analyst Evaluation'!$A$46:$F$120,4,0),""))&amp;""</f>
        <v/>
      </c>
      <c r="M165" s="210"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2">
      <c r="A166" s="210" t="str">
        <f>IFERROR(IF($A165+1&gt;'(backend scoring)'!$T$335,"",$A165+1),"")</f>
        <v/>
      </c>
      <c r="B166" s="210" t="str">
        <f>_xlfn.XLOOKUP($A166,'(backend scoring)'!$V$2:$V$333,'(backend scoring)'!$A$2:$A$333,"")</f>
        <v/>
      </c>
      <c r="C166" s="210" t="str">
        <f>IFERROR(VLOOKUP($B166,'Institution Evaluation'!$A$55:$F$346,2,0),IFERROR(VLOOKUP($B166,'Privacy Analyst Evaluation'!$A$46:$F$120,2,0),""))&amp;""</f>
        <v/>
      </c>
      <c r="D166" s="210" t="str">
        <f>IFERROR(VLOOKUP($B166,'Institution Evaluation'!$A$55:$F$346,3,0),IFERROR(VLOOKUP($B166,'Privacy Analyst Evaluation'!$A$46:$F$120,3,0),""))&amp;""</f>
        <v/>
      </c>
      <c r="E166" s="210" t="str">
        <f>IFERROR(VLOOKUP($B166,'Institution Evaluation'!$A$55:$F$346,4,0),IFERROR(VLOOKUP($B166,'Privacy Analyst Evaluation'!$A$46:$F$120,4,0),""))&amp;""</f>
        <v/>
      </c>
      <c r="F166" s="210" t="str">
        <f>IFERROR(VLOOKUP($B166,'Institution Evaluation'!$A$55:$F$346,6,0),IFERROR(VLOOKUP($B166,'Privacy Analyst Evaluation'!$A$46:$F$120,6,0),""))&amp;""</f>
        <v/>
      </c>
      <c r="G166" s="211"/>
      <c r="H166" s="210" t="str">
        <f>IFERROR(IF($H165+1&gt;'(backend scoring)'!$Q$335,"",$H165+1),"")</f>
        <v/>
      </c>
      <c r="I166" s="210" t="str">
        <f>_xlfn.XLOOKUP($H166,'(backend scoring)'!$S$2:$S$333,'(backend scoring)'!$A$2:$A$333,"")</f>
        <v/>
      </c>
      <c r="J166" s="210" t="str">
        <f>IFERROR(VLOOKUP($I166,'Institution Evaluation'!$A$55:$F$346,2,0),IFERROR(VLOOKUP($I166,'Privacy Analyst Evaluation'!$A$46:$F$120,2,0),""))</f>
        <v/>
      </c>
      <c r="K166" s="210" t="str">
        <f>IFERROR(VLOOKUP($I166,'Institution Evaluation'!$A$55:$F$346,3,0),IFERROR(VLOOKUP($I166,'Privacy Analyst Evaluation'!$A$46:$F$120,3,0),""))&amp;""</f>
        <v/>
      </c>
      <c r="L166" s="210" t="str">
        <f>IFERROR(VLOOKUP($I166,'Institution Evaluation'!$A$55:$F$346,4,0),IFERROR(VLOOKUP($I166,'Privacy Analyst Evaluation'!$A$46:$F$120,4,0),""))&amp;""</f>
        <v/>
      </c>
      <c r="M166" s="210"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2">
      <c r="A167" s="210" t="str">
        <f>IFERROR(IF($A166+1&gt;'(backend scoring)'!$T$335,"",$A166+1),"")</f>
        <v/>
      </c>
      <c r="B167" s="210" t="str">
        <f>_xlfn.XLOOKUP($A167,'(backend scoring)'!$V$2:$V$333,'(backend scoring)'!$A$2:$A$333,"")</f>
        <v/>
      </c>
      <c r="C167" s="210" t="str">
        <f>IFERROR(VLOOKUP($B167,'Institution Evaluation'!$A$55:$F$346,2,0),IFERROR(VLOOKUP($B167,'Privacy Analyst Evaluation'!$A$46:$F$120,2,0),""))&amp;""</f>
        <v/>
      </c>
      <c r="D167" s="210" t="str">
        <f>IFERROR(VLOOKUP($B167,'Institution Evaluation'!$A$55:$F$346,3,0),IFERROR(VLOOKUP($B167,'Privacy Analyst Evaluation'!$A$46:$F$120,3,0),""))&amp;""</f>
        <v/>
      </c>
      <c r="E167" s="210" t="str">
        <f>IFERROR(VLOOKUP($B167,'Institution Evaluation'!$A$55:$F$346,4,0),IFERROR(VLOOKUP($B167,'Privacy Analyst Evaluation'!$A$46:$F$120,4,0),""))&amp;""</f>
        <v/>
      </c>
      <c r="F167" s="210" t="str">
        <f>IFERROR(VLOOKUP($B167,'Institution Evaluation'!$A$55:$F$346,6,0),IFERROR(VLOOKUP($B167,'Privacy Analyst Evaluation'!$A$46:$F$120,6,0),""))&amp;""</f>
        <v/>
      </c>
      <c r="G167" s="211"/>
      <c r="H167" s="210" t="str">
        <f>IFERROR(IF($H166+1&gt;'(backend scoring)'!$Q$335,"",$H166+1),"")</f>
        <v/>
      </c>
      <c r="I167" s="210" t="str">
        <f>_xlfn.XLOOKUP($H167,'(backend scoring)'!$S$2:$S$333,'(backend scoring)'!$A$2:$A$333,"")</f>
        <v/>
      </c>
      <c r="J167" s="210" t="str">
        <f>IFERROR(VLOOKUP($I167,'Institution Evaluation'!$A$55:$F$346,2,0),IFERROR(VLOOKUP($I167,'Privacy Analyst Evaluation'!$A$46:$F$120,2,0),""))</f>
        <v/>
      </c>
      <c r="K167" s="210" t="str">
        <f>IFERROR(VLOOKUP($I167,'Institution Evaluation'!$A$55:$F$346,3,0),IFERROR(VLOOKUP($I167,'Privacy Analyst Evaluation'!$A$46:$F$120,3,0),""))&amp;""</f>
        <v/>
      </c>
      <c r="L167" s="210" t="str">
        <f>IFERROR(VLOOKUP($I167,'Institution Evaluation'!$A$55:$F$346,4,0),IFERROR(VLOOKUP($I167,'Privacy Analyst Evaluation'!$A$46:$F$120,4,0),""))&amp;""</f>
        <v/>
      </c>
      <c r="M167" s="210"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2">
      <c r="A168" s="210" t="str">
        <f>IFERROR(IF($A167+1&gt;'(backend scoring)'!$T$335,"",$A167+1),"")</f>
        <v/>
      </c>
      <c r="B168" s="210" t="str">
        <f>_xlfn.XLOOKUP($A168,'(backend scoring)'!$V$2:$V$333,'(backend scoring)'!$A$2:$A$333,"")</f>
        <v/>
      </c>
      <c r="C168" s="210" t="str">
        <f>IFERROR(VLOOKUP($B168,'Institution Evaluation'!$A$55:$F$346,2,0),IFERROR(VLOOKUP($B168,'Privacy Analyst Evaluation'!$A$46:$F$120,2,0),""))&amp;""</f>
        <v/>
      </c>
      <c r="D168" s="210" t="str">
        <f>IFERROR(VLOOKUP($B168,'Institution Evaluation'!$A$55:$F$346,3,0),IFERROR(VLOOKUP($B168,'Privacy Analyst Evaluation'!$A$46:$F$120,3,0),""))&amp;""</f>
        <v/>
      </c>
      <c r="E168" s="210" t="str">
        <f>IFERROR(VLOOKUP($B168,'Institution Evaluation'!$A$55:$F$346,4,0),IFERROR(VLOOKUP($B168,'Privacy Analyst Evaluation'!$A$46:$F$120,4,0),""))&amp;""</f>
        <v/>
      </c>
      <c r="F168" s="210" t="str">
        <f>IFERROR(VLOOKUP($B168,'Institution Evaluation'!$A$55:$F$346,6,0),IFERROR(VLOOKUP($B168,'Privacy Analyst Evaluation'!$A$46:$F$120,6,0),""))&amp;""</f>
        <v/>
      </c>
      <c r="G168" s="211"/>
      <c r="H168" s="210" t="str">
        <f>IFERROR(IF($H167+1&gt;'(backend scoring)'!$Q$335,"",$H167+1),"")</f>
        <v/>
      </c>
      <c r="I168" s="210" t="str">
        <f>_xlfn.XLOOKUP($H168,'(backend scoring)'!$S$2:$S$333,'(backend scoring)'!$A$2:$A$333,"")</f>
        <v/>
      </c>
      <c r="J168" s="210" t="str">
        <f>IFERROR(VLOOKUP($I168,'Institution Evaluation'!$A$55:$F$346,2,0),IFERROR(VLOOKUP($I168,'Privacy Analyst Evaluation'!$A$46:$F$120,2,0),""))</f>
        <v/>
      </c>
      <c r="K168" s="210" t="str">
        <f>IFERROR(VLOOKUP($I168,'Institution Evaluation'!$A$55:$F$346,3,0),IFERROR(VLOOKUP($I168,'Privacy Analyst Evaluation'!$A$46:$F$120,3,0),""))&amp;""</f>
        <v/>
      </c>
      <c r="L168" s="210" t="str">
        <f>IFERROR(VLOOKUP($I168,'Institution Evaluation'!$A$55:$F$346,4,0),IFERROR(VLOOKUP($I168,'Privacy Analyst Evaluation'!$A$46:$F$120,4,0),""))&amp;""</f>
        <v/>
      </c>
      <c r="M168" s="210"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2">
      <c r="A169" s="210" t="str">
        <f>IFERROR(IF($A168+1&gt;'(backend scoring)'!$T$335,"",$A168+1),"")</f>
        <v/>
      </c>
      <c r="B169" s="210" t="str">
        <f>_xlfn.XLOOKUP($A169,'(backend scoring)'!$V$2:$V$333,'(backend scoring)'!$A$2:$A$333,"")</f>
        <v/>
      </c>
      <c r="C169" s="210" t="str">
        <f>IFERROR(VLOOKUP($B169,'Institution Evaluation'!$A$55:$F$346,2,0),IFERROR(VLOOKUP($B169,'Privacy Analyst Evaluation'!$A$46:$F$120,2,0),""))&amp;""</f>
        <v/>
      </c>
      <c r="D169" s="210" t="str">
        <f>IFERROR(VLOOKUP($B169,'Institution Evaluation'!$A$55:$F$346,3,0),IFERROR(VLOOKUP($B169,'Privacy Analyst Evaluation'!$A$46:$F$120,3,0),""))&amp;""</f>
        <v/>
      </c>
      <c r="E169" s="210" t="str">
        <f>IFERROR(VLOOKUP($B169,'Institution Evaluation'!$A$55:$F$346,4,0),IFERROR(VLOOKUP($B169,'Privacy Analyst Evaluation'!$A$46:$F$120,4,0),""))&amp;""</f>
        <v/>
      </c>
      <c r="F169" s="210" t="str">
        <f>IFERROR(VLOOKUP($B169,'Institution Evaluation'!$A$55:$F$346,6,0),IFERROR(VLOOKUP($B169,'Privacy Analyst Evaluation'!$A$46:$F$120,6,0),""))&amp;""</f>
        <v/>
      </c>
      <c r="G169" s="211"/>
      <c r="H169" s="210" t="str">
        <f>IFERROR(IF($H168+1&gt;'(backend scoring)'!$Q$335,"",$H168+1),"")</f>
        <v/>
      </c>
      <c r="I169" s="210" t="str">
        <f>_xlfn.XLOOKUP($H169,'(backend scoring)'!$S$2:$S$333,'(backend scoring)'!$A$2:$A$333,"")</f>
        <v/>
      </c>
      <c r="J169" s="210" t="str">
        <f>IFERROR(VLOOKUP($I169,'Institution Evaluation'!$A$55:$F$346,2,0),IFERROR(VLOOKUP($I169,'Privacy Analyst Evaluation'!$A$46:$F$120,2,0),""))</f>
        <v/>
      </c>
      <c r="K169" s="210" t="str">
        <f>IFERROR(VLOOKUP($I169,'Institution Evaluation'!$A$55:$F$346,3,0),IFERROR(VLOOKUP($I169,'Privacy Analyst Evaluation'!$A$46:$F$120,3,0),""))&amp;""</f>
        <v/>
      </c>
      <c r="L169" s="210" t="str">
        <f>IFERROR(VLOOKUP($I169,'Institution Evaluation'!$A$55:$F$346,4,0),IFERROR(VLOOKUP($I169,'Privacy Analyst Evaluation'!$A$46:$F$120,4,0),""))&amp;""</f>
        <v/>
      </c>
      <c r="M169" s="210"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2">
      <c r="A170" s="210" t="str">
        <f>IFERROR(IF($A169+1&gt;'(backend scoring)'!$T$335,"",$A169+1),"")</f>
        <v/>
      </c>
      <c r="B170" s="210" t="str">
        <f>_xlfn.XLOOKUP($A170,'(backend scoring)'!$V$2:$V$333,'(backend scoring)'!$A$2:$A$333,"")</f>
        <v/>
      </c>
      <c r="C170" s="210" t="str">
        <f>IFERROR(VLOOKUP($B170,'Institution Evaluation'!$A$55:$F$346,2,0),IFERROR(VLOOKUP($B170,'Privacy Analyst Evaluation'!$A$46:$F$120,2,0),""))&amp;""</f>
        <v/>
      </c>
      <c r="D170" s="210" t="str">
        <f>IFERROR(VLOOKUP($B170,'Institution Evaluation'!$A$55:$F$346,3,0),IFERROR(VLOOKUP($B170,'Privacy Analyst Evaluation'!$A$46:$F$120,3,0),""))&amp;""</f>
        <v/>
      </c>
      <c r="E170" s="210" t="str">
        <f>IFERROR(VLOOKUP($B170,'Institution Evaluation'!$A$55:$F$346,4,0),IFERROR(VLOOKUP($B170,'Privacy Analyst Evaluation'!$A$46:$F$120,4,0),""))&amp;""</f>
        <v/>
      </c>
      <c r="F170" s="210" t="str">
        <f>IFERROR(VLOOKUP($B170,'Institution Evaluation'!$A$55:$F$346,6,0),IFERROR(VLOOKUP($B170,'Privacy Analyst Evaluation'!$A$46:$F$120,6,0),""))&amp;""</f>
        <v/>
      </c>
      <c r="G170" s="211"/>
      <c r="H170" s="210" t="str">
        <f>IFERROR(IF($H169+1&gt;'(backend scoring)'!$Q$335,"",$H169+1),"")</f>
        <v/>
      </c>
      <c r="I170" s="210" t="str">
        <f>_xlfn.XLOOKUP($H170,'(backend scoring)'!$S$2:$S$333,'(backend scoring)'!$A$2:$A$333,"")</f>
        <v/>
      </c>
      <c r="J170" s="210" t="str">
        <f>IFERROR(VLOOKUP($I170,'Institution Evaluation'!$A$55:$F$346,2,0),IFERROR(VLOOKUP($I170,'Privacy Analyst Evaluation'!$A$46:$F$120,2,0),""))</f>
        <v/>
      </c>
      <c r="K170" s="210" t="str">
        <f>IFERROR(VLOOKUP($I170,'Institution Evaluation'!$A$55:$F$346,3,0),IFERROR(VLOOKUP($I170,'Privacy Analyst Evaluation'!$A$46:$F$120,3,0),""))&amp;""</f>
        <v/>
      </c>
      <c r="L170" s="210" t="str">
        <f>IFERROR(VLOOKUP($I170,'Institution Evaluation'!$A$55:$F$346,4,0),IFERROR(VLOOKUP($I170,'Privacy Analyst Evaluation'!$A$46:$F$120,4,0),""))&amp;""</f>
        <v/>
      </c>
      <c r="M170" s="210"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2">
      <c r="A171" s="210" t="str">
        <f>IFERROR(IF($A170+1&gt;'(backend scoring)'!$T$335,"",$A170+1),"")</f>
        <v/>
      </c>
      <c r="B171" s="210" t="str">
        <f>_xlfn.XLOOKUP($A171,'(backend scoring)'!$V$2:$V$333,'(backend scoring)'!$A$2:$A$333,"")</f>
        <v/>
      </c>
      <c r="C171" s="210" t="str">
        <f>IFERROR(VLOOKUP($B171,'Institution Evaluation'!$A$55:$F$346,2,0),IFERROR(VLOOKUP($B171,'Privacy Analyst Evaluation'!$A$46:$F$120,2,0),""))&amp;""</f>
        <v/>
      </c>
      <c r="D171" s="210" t="str">
        <f>IFERROR(VLOOKUP($B171,'Institution Evaluation'!$A$55:$F$346,3,0),IFERROR(VLOOKUP($B171,'Privacy Analyst Evaluation'!$A$46:$F$120,3,0),""))&amp;""</f>
        <v/>
      </c>
      <c r="E171" s="210" t="str">
        <f>IFERROR(VLOOKUP($B171,'Institution Evaluation'!$A$55:$F$346,4,0),IFERROR(VLOOKUP($B171,'Privacy Analyst Evaluation'!$A$46:$F$120,4,0),""))&amp;""</f>
        <v/>
      </c>
      <c r="F171" s="210" t="str">
        <f>IFERROR(VLOOKUP($B171,'Institution Evaluation'!$A$55:$F$346,6,0),IFERROR(VLOOKUP($B171,'Privacy Analyst Evaluation'!$A$46:$F$120,6,0),""))&amp;""</f>
        <v/>
      </c>
      <c r="G171" s="211"/>
      <c r="H171" s="210" t="str">
        <f>IFERROR(IF($H170+1&gt;'(backend scoring)'!$Q$335,"",$H170+1),"")</f>
        <v/>
      </c>
      <c r="I171" s="210" t="str">
        <f>_xlfn.XLOOKUP($H171,'(backend scoring)'!$S$2:$S$333,'(backend scoring)'!$A$2:$A$333,"")</f>
        <v/>
      </c>
      <c r="J171" s="210" t="str">
        <f>IFERROR(VLOOKUP($I171,'Institution Evaluation'!$A$55:$F$346,2,0),IFERROR(VLOOKUP($I171,'Privacy Analyst Evaluation'!$A$46:$F$120,2,0),""))</f>
        <v/>
      </c>
      <c r="K171" s="210" t="str">
        <f>IFERROR(VLOOKUP($I171,'Institution Evaluation'!$A$55:$F$346,3,0),IFERROR(VLOOKUP($I171,'Privacy Analyst Evaluation'!$A$46:$F$120,3,0),""))&amp;""</f>
        <v/>
      </c>
      <c r="L171" s="210" t="str">
        <f>IFERROR(VLOOKUP($I171,'Institution Evaluation'!$A$55:$F$346,4,0),IFERROR(VLOOKUP($I171,'Privacy Analyst Evaluation'!$A$46:$F$120,4,0),""))&amp;""</f>
        <v/>
      </c>
      <c r="M171" s="210"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2">
      <c r="A172" s="210" t="str">
        <f>IFERROR(IF($A171+1&gt;'(backend scoring)'!$T$335,"",$A171+1),"")</f>
        <v/>
      </c>
      <c r="B172" s="210" t="str">
        <f>_xlfn.XLOOKUP($A172,'(backend scoring)'!$V$2:$V$333,'(backend scoring)'!$A$2:$A$333,"")</f>
        <v/>
      </c>
      <c r="C172" s="210" t="str">
        <f>IFERROR(VLOOKUP($B172,'Institution Evaluation'!$A$55:$F$346,2,0),IFERROR(VLOOKUP($B172,'Privacy Analyst Evaluation'!$A$46:$F$120,2,0),""))&amp;""</f>
        <v/>
      </c>
      <c r="D172" s="210" t="str">
        <f>IFERROR(VLOOKUP($B172,'Institution Evaluation'!$A$55:$F$346,3,0),IFERROR(VLOOKUP($B172,'Privacy Analyst Evaluation'!$A$46:$F$120,3,0),""))&amp;""</f>
        <v/>
      </c>
      <c r="E172" s="210" t="str">
        <f>IFERROR(VLOOKUP($B172,'Institution Evaluation'!$A$55:$F$346,4,0),IFERROR(VLOOKUP($B172,'Privacy Analyst Evaluation'!$A$46:$F$120,4,0),""))&amp;""</f>
        <v/>
      </c>
      <c r="F172" s="210" t="str">
        <f>IFERROR(VLOOKUP($B172,'Institution Evaluation'!$A$55:$F$346,6,0),IFERROR(VLOOKUP($B172,'Privacy Analyst Evaluation'!$A$46:$F$120,6,0),""))&amp;""</f>
        <v/>
      </c>
      <c r="G172" s="211"/>
      <c r="H172" s="210" t="str">
        <f>IFERROR(IF($H171+1&gt;'(backend scoring)'!$Q$335,"",$H171+1),"")</f>
        <v/>
      </c>
      <c r="I172" s="210" t="str">
        <f>_xlfn.XLOOKUP($H172,'(backend scoring)'!$S$2:$S$333,'(backend scoring)'!$A$2:$A$333,"")</f>
        <v/>
      </c>
      <c r="J172" s="210" t="str">
        <f>IFERROR(VLOOKUP($I172,'Institution Evaluation'!$A$55:$F$346,2,0),IFERROR(VLOOKUP($I172,'Privacy Analyst Evaluation'!$A$46:$F$120,2,0),""))</f>
        <v/>
      </c>
      <c r="K172" s="210" t="str">
        <f>IFERROR(VLOOKUP($I172,'Institution Evaluation'!$A$55:$F$346,3,0),IFERROR(VLOOKUP($I172,'Privacy Analyst Evaluation'!$A$46:$F$120,3,0),""))&amp;""</f>
        <v/>
      </c>
      <c r="L172" s="210" t="str">
        <f>IFERROR(VLOOKUP($I172,'Institution Evaluation'!$A$55:$F$346,4,0),IFERROR(VLOOKUP($I172,'Privacy Analyst Evaluation'!$A$46:$F$120,4,0),""))&amp;""</f>
        <v/>
      </c>
      <c r="M172" s="210"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2">
      <c r="A173" s="210" t="str">
        <f>IFERROR(IF($A172+1&gt;'(backend scoring)'!$T$335,"",$A172+1),"")</f>
        <v/>
      </c>
      <c r="B173" s="210" t="str">
        <f>_xlfn.XLOOKUP($A173,'(backend scoring)'!$V$2:$V$333,'(backend scoring)'!$A$2:$A$333,"")</f>
        <v/>
      </c>
      <c r="C173" s="210" t="str">
        <f>IFERROR(VLOOKUP($B173,'Institution Evaluation'!$A$55:$F$346,2,0),IFERROR(VLOOKUP($B173,'Privacy Analyst Evaluation'!$A$46:$F$120,2,0),""))&amp;""</f>
        <v/>
      </c>
      <c r="D173" s="210" t="str">
        <f>IFERROR(VLOOKUP($B173,'Institution Evaluation'!$A$55:$F$346,3,0),IFERROR(VLOOKUP($B173,'Privacy Analyst Evaluation'!$A$46:$F$120,3,0),""))&amp;""</f>
        <v/>
      </c>
      <c r="E173" s="210" t="str">
        <f>IFERROR(VLOOKUP($B173,'Institution Evaluation'!$A$55:$F$346,4,0),IFERROR(VLOOKUP($B173,'Privacy Analyst Evaluation'!$A$46:$F$120,4,0),""))&amp;""</f>
        <v/>
      </c>
      <c r="F173" s="210" t="str">
        <f>IFERROR(VLOOKUP($B173,'Institution Evaluation'!$A$55:$F$346,6,0),IFERROR(VLOOKUP($B173,'Privacy Analyst Evaluation'!$A$46:$F$120,6,0),""))&amp;""</f>
        <v/>
      </c>
      <c r="G173" s="211"/>
      <c r="H173" s="210" t="str">
        <f>IFERROR(IF($H172+1&gt;'(backend scoring)'!$Q$335,"",$H172+1),"")</f>
        <v/>
      </c>
      <c r="I173" s="210" t="str">
        <f>_xlfn.XLOOKUP($H173,'(backend scoring)'!$S$2:$S$333,'(backend scoring)'!$A$2:$A$333,"")</f>
        <v/>
      </c>
      <c r="J173" s="210" t="str">
        <f>IFERROR(VLOOKUP($I173,'Institution Evaluation'!$A$55:$F$346,2,0),IFERROR(VLOOKUP($I173,'Privacy Analyst Evaluation'!$A$46:$F$120,2,0),""))</f>
        <v/>
      </c>
      <c r="K173" s="210" t="str">
        <f>IFERROR(VLOOKUP($I173,'Institution Evaluation'!$A$55:$F$346,3,0),IFERROR(VLOOKUP($I173,'Privacy Analyst Evaluation'!$A$46:$F$120,3,0),""))&amp;""</f>
        <v/>
      </c>
      <c r="L173" s="210" t="str">
        <f>IFERROR(VLOOKUP($I173,'Institution Evaluation'!$A$55:$F$346,4,0),IFERROR(VLOOKUP($I173,'Privacy Analyst Evaluation'!$A$46:$F$120,4,0),""))&amp;""</f>
        <v/>
      </c>
      <c r="M173" s="210"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2">
      <c r="A174" s="210" t="str">
        <f>IFERROR(IF($A173+1&gt;'(backend scoring)'!$T$335,"",$A173+1),"")</f>
        <v/>
      </c>
      <c r="B174" s="210" t="str">
        <f>_xlfn.XLOOKUP($A174,'(backend scoring)'!$V$2:$V$333,'(backend scoring)'!$A$2:$A$333,"")</f>
        <v/>
      </c>
      <c r="C174" s="210" t="str">
        <f>IFERROR(VLOOKUP($B174,'Institution Evaluation'!$A$55:$F$346,2,0),IFERROR(VLOOKUP($B174,'Privacy Analyst Evaluation'!$A$46:$F$120,2,0),""))&amp;""</f>
        <v/>
      </c>
      <c r="D174" s="210" t="str">
        <f>IFERROR(VLOOKUP($B174,'Institution Evaluation'!$A$55:$F$346,3,0),IFERROR(VLOOKUP($B174,'Privacy Analyst Evaluation'!$A$46:$F$120,3,0),""))&amp;""</f>
        <v/>
      </c>
      <c r="E174" s="210" t="str">
        <f>IFERROR(VLOOKUP($B174,'Institution Evaluation'!$A$55:$F$346,4,0),IFERROR(VLOOKUP($B174,'Privacy Analyst Evaluation'!$A$46:$F$120,4,0),""))&amp;""</f>
        <v/>
      </c>
      <c r="F174" s="210" t="str">
        <f>IFERROR(VLOOKUP($B174,'Institution Evaluation'!$A$55:$F$346,6,0),IFERROR(VLOOKUP($B174,'Privacy Analyst Evaluation'!$A$46:$F$120,6,0),""))&amp;""</f>
        <v/>
      </c>
      <c r="G174" s="211"/>
      <c r="H174" s="210" t="str">
        <f>IFERROR(IF($H173+1&gt;'(backend scoring)'!$Q$335,"",$H173+1),"")</f>
        <v/>
      </c>
      <c r="I174" s="210" t="str">
        <f>_xlfn.XLOOKUP($H174,'(backend scoring)'!$S$2:$S$333,'(backend scoring)'!$A$2:$A$333,"")</f>
        <v/>
      </c>
      <c r="J174" s="210" t="str">
        <f>IFERROR(VLOOKUP($I174,'Institution Evaluation'!$A$55:$F$346,2,0),IFERROR(VLOOKUP($I174,'Privacy Analyst Evaluation'!$A$46:$F$120,2,0),""))</f>
        <v/>
      </c>
      <c r="K174" s="210" t="str">
        <f>IFERROR(VLOOKUP($I174,'Institution Evaluation'!$A$55:$F$346,3,0),IFERROR(VLOOKUP($I174,'Privacy Analyst Evaluation'!$A$46:$F$120,3,0),""))&amp;""</f>
        <v/>
      </c>
      <c r="L174" s="210" t="str">
        <f>IFERROR(VLOOKUP($I174,'Institution Evaluation'!$A$55:$F$346,4,0),IFERROR(VLOOKUP($I174,'Privacy Analyst Evaluation'!$A$46:$F$120,4,0),""))&amp;""</f>
        <v/>
      </c>
      <c r="M174" s="210"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2">
      <c r="A175" s="210" t="str">
        <f>IFERROR(IF($A174+1&gt;'(backend scoring)'!$T$335,"",$A174+1),"")</f>
        <v/>
      </c>
      <c r="B175" s="210" t="str">
        <f>_xlfn.XLOOKUP($A175,'(backend scoring)'!$V$2:$V$333,'(backend scoring)'!$A$2:$A$333,"")</f>
        <v/>
      </c>
      <c r="C175" s="210" t="str">
        <f>IFERROR(VLOOKUP($B175,'Institution Evaluation'!$A$55:$F$346,2,0),IFERROR(VLOOKUP($B175,'Privacy Analyst Evaluation'!$A$46:$F$120,2,0),""))&amp;""</f>
        <v/>
      </c>
      <c r="D175" s="210" t="str">
        <f>IFERROR(VLOOKUP($B175,'Institution Evaluation'!$A$55:$F$346,3,0),IFERROR(VLOOKUP($B175,'Privacy Analyst Evaluation'!$A$46:$F$120,3,0),""))&amp;""</f>
        <v/>
      </c>
      <c r="E175" s="210" t="str">
        <f>IFERROR(VLOOKUP($B175,'Institution Evaluation'!$A$55:$F$346,4,0),IFERROR(VLOOKUP($B175,'Privacy Analyst Evaluation'!$A$46:$F$120,4,0),""))&amp;""</f>
        <v/>
      </c>
      <c r="F175" s="210" t="str">
        <f>IFERROR(VLOOKUP($B175,'Institution Evaluation'!$A$55:$F$346,6,0),IFERROR(VLOOKUP($B175,'Privacy Analyst Evaluation'!$A$46:$F$120,6,0),""))&amp;""</f>
        <v/>
      </c>
      <c r="G175" s="211"/>
      <c r="H175" s="210" t="str">
        <f>IFERROR(IF($H174+1&gt;'(backend scoring)'!$Q$335,"",$H174+1),"")</f>
        <v/>
      </c>
      <c r="I175" s="210" t="str">
        <f>_xlfn.XLOOKUP($H175,'(backend scoring)'!$S$2:$S$333,'(backend scoring)'!$A$2:$A$333,"")</f>
        <v/>
      </c>
      <c r="J175" s="210" t="str">
        <f>IFERROR(VLOOKUP($I175,'Institution Evaluation'!$A$55:$F$346,2,0),IFERROR(VLOOKUP($I175,'Privacy Analyst Evaluation'!$A$46:$F$120,2,0),""))</f>
        <v/>
      </c>
      <c r="K175" s="210" t="str">
        <f>IFERROR(VLOOKUP($I175,'Institution Evaluation'!$A$55:$F$346,3,0),IFERROR(VLOOKUP($I175,'Privacy Analyst Evaluation'!$A$46:$F$120,3,0),""))&amp;""</f>
        <v/>
      </c>
      <c r="L175" s="210" t="str">
        <f>IFERROR(VLOOKUP($I175,'Institution Evaluation'!$A$55:$F$346,4,0),IFERROR(VLOOKUP($I175,'Privacy Analyst Evaluation'!$A$46:$F$120,4,0),""))&amp;""</f>
        <v/>
      </c>
      <c r="M175" s="210"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2">
      <c r="A176" s="210" t="str">
        <f>IFERROR(IF($A175+1&gt;'(backend scoring)'!$T$335,"",$A175+1),"")</f>
        <v/>
      </c>
      <c r="B176" s="210" t="str">
        <f>_xlfn.XLOOKUP($A176,'(backend scoring)'!$V$2:$V$333,'(backend scoring)'!$A$2:$A$333,"")</f>
        <v/>
      </c>
      <c r="C176" s="210" t="str">
        <f>IFERROR(VLOOKUP($B176,'Institution Evaluation'!$A$55:$F$346,2,0),IFERROR(VLOOKUP($B176,'Privacy Analyst Evaluation'!$A$46:$F$120,2,0),""))&amp;""</f>
        <v/>
      </c>
      <c r="D176" s="210" t="str">
        <f>IFERROR(VLOOKUP($B176,'Institution Evaluation'!$A$55:$F$346,3,0),IFERROR(VLOOKUP($B176,'Privacy Analyst Evaluation'!$A$46:$F$120,3,0),""))&amp;""</f>
        <v/>
      </c>
      <c r="E176" s="210" t="str">
        <f>IFERROR(VLOOKUP($B176,'Institution Evaluation'!$A$55:$F$346,4,0),IFERROR(VLOOKUP($B176,'Privacy Analyst Evaluation'!$A$46:$F$120,4,0),""))&amp;""</f>
        <v/>
      </c>
      <c r="F176" s="210" t="str">
        <f>IFERROR(VLOOKUP($B176,'Institution Evaluation'!$A$55:$F$346,6,0),IFERROR(VLOOKUP($B176,'Privacy Analyst Evaluation'!$A$46:$F$120,6,0),""))&amp;""</f>
        <v/>
      </c>
      <c r="G176" s="211"/>
      <c r="H176" s="210" t="str">
        <f>IFERROR(IF($H175+1&gt;'(backend scoring)'!$Q$335,"",$H175+1),"")</f>
        <v/>
      </c>
      <c r="I176" s="210" t="str">
        <f>_xlfn.XLOOKUP($H176,'(backend scoring)'!$S$2:$S$333,'(backend scoring)'!$A$2:$A$333,"")</f>
        <v/>
      </c>
      <c r="J176" s="210" t="str">
        <f>IFERROR(VLOOKUP($I176,'Institution Evaluation'!$A$55:$F$346,2,0),IFERROR(VLOOKUP($I176,'Privacy Analyst Evaluation'!$A$46:$F$120,2,0),""))</f>
        <v/>
      </c>
      <c r="K176" s="210" t="str">
        <f>IFERROR(VLOOKUP($I176,'Institution Evaluation'!$A$55:$F$346,3,0),IFERROR(VLOOKUP($I176,'Privacy Analyst Evaluation'!$A$46:$F$120,3,0),""))&amp;""</f>
        <v/>
      </c>
      <c r="L176" s="210" t="str">
        <f>IFERROR(VLOOKUP($I176,'Institution Evaluation'!$A$55:$F$346,4,0),IFERROR(VLOOKUP($I176,'Privacy Analyst Evaluation'!$A$46:$F$120,4,0),""))&amp;""</f>
        <v/>
      </c>
      <c r="M176" s="210"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2">
      <c r="A177" s="210" t="str">
        <f>IFERROR(IF($A176+1&gt;'(backend scoring)'!$T$335,"",$A176+1),"")</f>
        <v/>
      </c>
      <c r="B177" s="210" t="str">
        <f>_xlfn.XLOOKUP($A177,'(backend scoring)'!$V$2:$V$333,'(backend scoring)'!$A$2:$A$333,"")</f>
        <v/>
      </c>
      <c r="C177" s="210" t="str">
        <f>IFERROR(VLOOKUP($B177,'Institution Evaluation'!$A$55:$F$346,2,0),IFERROR(VLOOKUP($B177,'Privacy Analyst Evaluation'!$A$46:$F$120,2,0),""))&amp;""</f>
        <v/>
      </c>
      <c r="D177" s="210" t="str">
        <f>IFERROR(VLOOKUP($B177,'Institution Evaluation'!$A$55:$F$346,3,0),IFERROR(VLOOKUP($B177,'Privacy Analyst Evaluation'!$A$46:$F$120,3,0),""))&amp;""</f>
        <v/>
      </c>
      <c r="E177" s="210" t="str">
        <f>IFERROR(VLOOKUP($B177,'Institution Evaluation'!$A$55:$F$346,4,0),IFERROR(VLOOKUP($B177,'Privacy Analyst Evaluation'!$A$46:$F$120,4,0),""))&amp;""</f>
        <v/>
      </c>
      <c r="F177" s="210" t="str">
        <f>IFERROR(VLOOKUP($B177,'Institution Evaluation'!$A$55:$F$346,6,0),IFERROR(VLOOKUP($B177,'Privacy Analyst Evaluation'!$A$46:$F$120,6,0),""))&amp;""</f>
        <v/>
      </c>
      <c r="G177" s="211"/>
      <c r="H177" s="210" t="str">
        <f>IFERROR(IF($H176+1&gt;'(backend scoring)'!$Q$335,"",$H176+1),"")</f>
        <v/>
      </c>
      <c r="I177" s="210" t="str">
        <f>_xlfn.XLOOKUP($H177,'(backend scoring)'!$S$2:$S$333,'(backend scoring)'!$A$2:$A$333,"")</f>
        <v/>
      </c>
      <c r="J177" s="210" t="str">
        <f>IFERROR(VLOOKUP($I177,'Institution Evaluation'!$A$55:$F$346,2,0),IFERROR(VLOOKUP($I177,'Privacy Analyst Evaluation'!$A$46:$F$120,2,0),""))</f>
        <v/>
      </c>
      <c r="K177" s="210" t="str">
        <f>IFERROR(VLOOKUP($I177,'Institution Evaluation'!$A$55:$F$346,3,0),IFERROR(VLOOKUP($I177,'Privacy Analyst Evaluation'!$A$46:$F$120,3,0),""))&amp;""</f>
        <v/>
      </c>
      <c r="L177" s="210" t="str">
        <f>IFERROR(VLOOKUP($I177,'Institution Evaluation'!$A$55:$F$346,4,0),IFERROR(VLOOKUP($I177,'Privacy Analyst Evaluation'!$A$46:$F$120,4,0),""))&amp;""</f>
        <v/>
      </c>
      <c r="M177" s="210"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2">
      <c r="A178" s="210" t="str">
        <f>IFERROR(IF($A177+1&gt;'(backend scoring)'!$T$335,"",$A177+1),"")</f>
        <v/>
      </c>
      <c r="B178" s="210" t="str">
        <f>_xlfn.XLOOKUP($A178,'(backend scoring)'!$V$2:$V$333,'(backend scoring)'!$A$2:$A$333,"")</f>
        <v/>
      </c>
      <c r="C178" s="210" t="str">
        <f>IFERROR(VLOOKUP($B178,'Institution Evaluation'!$A$55:$F$346,2,0),IFERROR(VLOOKUP($B178,'Privacy Analyst Evaluation'!$A$46:$F$120,2,0),""))&amp;""</f>
        <v/>
      </c>
      <c r="D178" s="210" t="str">
        <f>IFERROR(VLOOKUP($B178,'Institution Evaluation'!$A$55:$F$346,3,0),IFERROR(VLOOKUP($B178,'Privacy Analyst Evaluation'!$A$46:$F$120,3,0),""))&amp;""</f>
        <v/>
      </c>
      <c r="E178" s="210" t="str">
        <f>IFERROR(VLOOKUP($B178,'Institution Evaluation'!$A$55:$F$346,4,0),IFERROR(VLOOKUP($B178,'Privacy Analyst Evaluation'!$A$46:$F$120,4,0),""))&amp;""</f>
        <v/>
      </c>
      <c r="F178" s="210" t="str">
        <f>IFERROR(VLOOKUP($B178,'Institution Evaluation'!$A$55:$F$346,6,0),IFERROR(VLOOKUP($B178,'Privacy Analyst Evaluation'!$A$46:$F$120,6,0),""))&amp;""</f>
        <v/>
      </c>
      <c r="G178" s="211"/>
      <c r="H178" s="210" t="str">
        <f>IFERROR(IF($H177+1&gt;'(backend scoring)'!$Q$335,"",$H177+1),"")</f>
        <v/>
      </c>
      <c r="I178" s="210" t="str">
        <f>_xlfn.XLOOKUP($H178,'(backend scoring)'!$S$2:$S$333,'(backend scoring)'!$A$2:$A$333,"")</f>
        <v/>
      </c>
      <c r="J178" s="210" t="str">
        <f>IFERROR(VLOOKUP($I178,'Institution Evaluation'!$A$55:$F$346,2,0),IFERROR(VLOOKUP($I178,'Privacy Analyst Evaluation'!$A$46:$F$120,2,0),""))</f>
        <v/>
      </c>
      <c r="K178" s="210" t="str">
        <f>IFERROR(VLOOKUP($I178,'Institution Evaluation'!$A$55:$F$346,3,0),IFERROR(VLOOKUP($I178,'Privacy Analyst Evaluation'!$A$46:$F$120,3,0),""))&amp;""</f>
        <v/>
      </c>
      <c r="L178" s="210" t="str">
        <f>IFERROR(VLOOKUP($I178,'Institution Evaluation'!$A$55:$F$346,4,0),IFERROR(VLOOKUP($I178,'Privacy Analyst Evaluation'!$A$46:$F$120,4,0),""))&amp;""</f>
        <v/>
      </c>
      <c r="M178" s="210"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2">
      <c r="A179" s="210" t="str">
        <f>IFERROR(IF($A178+1&gt;'(backend scoring)'!$T$335,"",$A178+1),"")</f>
        <v/>
      </c>
      <c r="B179" s="210" t="str">
        <f>_xlfn.XLOOKUP($A179,'(backend scoring)'!$V$2:$V$333,'(backend scoring)'!$A$2:$A$333,"")</f>
        <v/>
      </c>
      <c r="C179" s="210" t="str">
        <f>IFERROR(VLOOKUP($B179,'Institution Evaluation'!$A$55:$F$346,2,0),IFERROR(VLOOKUP($B179,'Privacy Analyst Evaluation'!$A$46:$F$120,2,0),""))&amp;""</f>
        <v/>
      </c>
      <c r="D179" s="210" t="str">
        <f>IFERROR(VLOOKUP($B179,'Institution Evaluation'!$A$55:$F$346,3,0),IFERROR(VLOOKUP($B179,'Privacy Analyst Evaluation'!$A$46:$F$120,3,0),""))&amp;""</f>
        <v/>
      </c>
      <c r="E179" s="210" t="str">
        <f>IFERROR(VLOOKUP($B179,'Institution Evaluation'!$A$55:$F$346,4,0),IFERROR(VLOOKUP($B179,'Privacy Analyst Evaluation'!$A$46:$F$120,4,0),""))&amp;""</f>
        <v/>
      </c>
      <c r="F179" s="210" t="str">
        <f>IFERROR(VLOOKUP($B179,'Institution Evaluation'!$A$55:$F$346,6,0),IFERROR(VLOOKUP($B179,'Privacy Analyst Evaluation'!$A$46:$F$120,6,0),""))&amp;""</f>
        <v/>
      </c>
      <c r="G179" s="211"/>
      <c r="H179" s="210" t="str">
        <f>IFERROR(IF($H178+1&gt;'(backend scoring)'!$Q$335,"",$H178+1),"")</f>
        <v/>
      </c>
      <c r="I179" s="210" t="str">
        <f>_xlfn.XLOOKUP($H179,'(backend scoring)'!$S$2:$S$333,'(backend scoring)'!$A$2:$A$333,"")</f>
        <v/>
      </c>
      <c r="J179" s="210" t="str">
        <f>IFERROR(VLOOKUP($I179,'Institution Evaluation'!$A$55:$F$346,2,0),IFERROR(VLOOKUP($I179,'Privacy Analyst Evaluation'!$A$46:$F$120,2,0),""))</f>
        <v/>
      </c>
      <c r="K179" s="210" t="str">
        <f>IFERROR(VLOOKUP($I179,'Institution Evaluation'!$A$55:$F$346,3,0),IFERROR(VLOOKUP($I179,'Privacy Analyst Evaluation'!$A$46:$F$120,3,0),""))&amp;""</f>
        <v/>
      </c>
      <c r="L179" s="210" t="str">
        <f>IFERROR(VLOOKUP($I179,'Institution Evaluation'!$A$55:$F$346,4,0),IFERROR(VLOOKUP($I179,'Privacy Analyst Evaluation'!$A$46:$F$120,4,0),""))&amp;""</f>
        <v/>
      </c>
      <c r="M179" s="210"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2">
      <c r="A180" s="210" t="str">
        <f>IFERROR(IF($A179+1&gt;'(backend scoring)'!$T$335,"",$A179+1),"")</f>
        <v/>
      </c>
      <c r="B180" s="210" t="str">
        <f>_xlfn.XLOOKUP($A180,'(backend scoring)'!$V$2:$V$333,'(backend scoring)'!$A$2:$A$333,"")</f>
        <v/>
      </c>
      <c r="C180" s="210" t="str">
        <f>IFERROR(VLOOKUP($B180,'Institution Evaluation'!$A$55:$F$346,2,0),IFERROR(VLOOKUP($B180,'Privacy Analyst Evaluation'!$A$46:$F$120,2,0),""))&amp;""</f>
        <v/>
      </c>
      <c r="D180" s="210" t="str">
        <f>IFERROR(VLOOKUP($B180,'Institution Evaluation'!$A$55:$F$346,3,0),IFERROR(VLOOKUP($B180,'Privacy Analyst Evaluation'!$A$46:$F$120,3,0),""))&amp;""</f>
        <v/>
      </c>
      <c r="E180" s="210" t="str">
        <f>IFERROR(VLOOKUP($B180,'Institution Evaluation'!$A$55:$F$346,4,0),IFERROR(VLOOKUP($B180,'Privacy Analyst Evaluation'!$A$46:$F$120,4,0),""))&amp;""</f>
        <v/>
      </c>
      <c r="F180" s="210" t="str">
        <f>IFERROR(VLOOKUP($B180,'Institution Evaluation'!$A$55:$F$346,6,0),IFERROR(VLOOKUP($B180,'Privacy Analyst Evaluation'!$A$46:$F$120,6,0),""))&amp;""</f>
        <v/>
      </c>
      <c r="G180" s="211"/>
      <c r="H180" s="210" t="str">
        <f>IFERROR(IF($H179+1&gt;'(backend scoring)'!$Q$335,"",$H179+1),"")</f>
        <v/>
      </c>
      <c r="I180" s="210" t="str">
        <f>_xlfn.XLOOKUP($H180,'(backend scoring)'!$S$2:$S$333,'(backend scoring)'!$A$2:$A$333,"")</f>
        <v/>
      </c>
      <c r="J180" s="210" t="str">
        <f>IFERROR(VLOOKUP($I180,'Institution Evaluation'!$A$55:$F$346,2,0),IFERROR(VLOOKUP($I180,'Privacy Analyst Evaluation'!$A$46:$F$120,2,0),""))</f>
        <v/>
      </c>
      <c r="K180" s="210" t="str">
        <f>IFERROR(VLOOKUP($I180,'Institution Evaluation'!$A$55:$F$346,3,0),IFERROR(VLOOKUP($I180,'Privacy Analyst Evaluation'!$A$46:$F$120,3,0),""))&amp;""</f>
        <v/>
      </c>
      <c r="L180" s="210" t="str">
        <f>IFERROR(VLOOKUP($I180,'Institution Evaluation'!$A$55:$F$346,4,0),IFERROR(VLOOKUP($I180,'Privacy Analyst Evaluation'!$A$46:$F$120,4,0),""))&amp;""</f>
        <v/>
      </c>
      <c r="M180" s="210"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2">
      <c r="A181" s="210" t="str">
        <f>IFERROR(IF($A180+1&gt;'(backend scoring)'!$T$335,"",$A180+1),"")</f>
        <v/>
      </c>
      <c r="B181" s="210" t="str">
        <f>_xlfn.XLOOKUP($A181,'(backend scoring)'!$V$2:$V$333,'(backend scoring)'!$A$2:$A$333,"")</f>
        <v/>
      </c>
      <c r="C181" s="210" t="str">
        <f>IFERROR(VLOOKUP($B181,'Institution Evaluation'!$A$55:$F$346,2,0),IFERROR(VLOOKUP($B181,'Privacy Analyst Evaluation'!$A$46:$F$120,2,0),""))&amp;""</f>
        <v/>
      </c>
      <c r="D181" s="210" t="str">
        <f>IFERROR(VLOOKUP($B181,'Institution Evaluation'!$A$55:$F$346,3,0),IFERROR(VLOOKUP($B181,'Privacy Analyst Evaluation'!$A$46:$F$120,3,0),""))&amp;""</f>
        <v/>
      </c>
      <c r="E181" s="210" t="str">
        <f>IFERROR(VLOOKUP($B181,'Institution Evaluation'!$A$55:$F$346,4,0),IFERROR(VLOOKUP($B181,'Privacy Analyst Evaluation'!$A$46:$F$120,4,0),""))&amp;""</f>
        <v/>
      </c>
      <c r="F181" s="210" t="str">
        <f>IFERROR(VLOOKUP($B181,'Institution Evaluation'!$A$55:$F$346,6,0),IFERROR(VLOOKUP($B181,'Privacy Analyst Evaluation'!$A$46:$F$120,6,0),""))&amp;""</f>
        <v/>
      </c>
      <c r="G181" s="211"/>
      <c r="H181" s="210" t="str">
        <f>IFERROR(IF($H180+1&gt;'(backend scoring)'!$Q$335,"",$H180+1),"")</f>
        <v/>
      </c>
      <c r="I181" s="210" t="str">
        <f>_xlfn.XLOOKUP($H181,'(backend scoring)'!$S$2:$S$333,'(backend scoring)'!$A$2:$A$333,"")</f>
        <v/>
      </c>
      <c r="J181" s="210" t="str">
        <f>IFERROR(VLOOKUP($I181,'Institution Evaluation'!$A$55:$F$346,2,0),IFERROR(VLOOKUP($I181,'Privacy Analyst Evaluation'!$A$46:$F$120,2,0),""))</f>
        <v/>
      </c>
      <c r="K181" s="210" t="str">
        <f>IFERROR(VLOOKUP($I181,'Institution Evaluation'!$A$55:$F$346,3,0),IFERROR(VLOOKUP($I181,'Privacy Analyst Evaluation'!$A$46:$F$120,3,0),""))&amp;""</f>
        <v/>
      </c>
      <c r="L181" s="210" t="str">
        <f>IFERROR(VLOOKUP($I181,'Institution Evaluation'!$A$55:$F$346,4,0),IFERROR(VLOOKUP($I181,'Privacy Analyst Evaluation'!$A$46:$F$120,4,0),""))&amp;""</f>
        <v/>
      </c>
      <c r="M181" s="210"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2">
      <c r="A182" s="210" t="str">
        <f>IFERROR(IF($A181+1&gt;'(backend scoring)'!$T$335,"",$A181+1),"")</f>
        <v/>
      </c>
      <c r="B182" s="210" t="str">
        <f>_xlfn.XLOOKUP($A182,'(backend scoring)'!$V$2:$V$333,'(backend scoring)'!$A$2:$A$333,"")</f>
        <v/>
      </c>
      <c r="C182" s="210" t="str">
        <f>IFERROR(VLOOKUP($B182,'Institution Evaluation'!$A$55:$F$346,2,0),IFERROR(VLOOKUP($B182,'Privacy Analyst Evaluation'!$A$46:$F$120,2,0),""))&amp;""</f>
        <v/>
      </c>
      <c r="D182" s="210" t="str">
        <f>IFERROR(VLOOKUP($B182,'Institution Evaluation'!$A$55:$F$346,3,0),IFERROR(VLOOKUP($B182,'Privacy Analyst Evaluation'!$A$46:$F$120,3,0),""))&amp;""</f>
        <v/>
      </c>
      <c r="E182" s="210" t="str">
        <f>IFERROR(VLOOKUP($B182,'Institution Evaluation'!$A$55:$F$346,4,0),IFERROR(VLOOKUP($B182,'Privacy Analyst Evaluation'!$A$46:$F$120,4,0),""))&amp;""</f>
        <v/>
      </c>
      <c r="F182" s="210" t="str">
        <f>IFERROR(VLOOKUP($B182,'Institution Evaluation'!$A$55:$F$346,6,0),IFERROR(VLOOKUP($B182,'Privacy Analyst Evaluation'!$A$46:$F$120,6,0),""))&amp;""</f>
        <v/>
      </c>
      <c r="G182" s="211"/>
      <c r="H182" s="210" t="str">
        <f>IFERROR(IF($H181+1&gt;'(backend scoring)'!$Q$335,"",$H181+1),"")</f>
        <v/>
      </c>
      <c r="I182" s="210" t="str">
        <f>_xlfn.XLOOKUP($H182,'(backend scoring)'!$S$2:$S$333,'(backend scoring)'!$A$2:$A$333,"")</f>
        <v/>
      </c>
      <c r="J182" s="210" t="str">
        <f>IFERROR(VLOOKUP($I182,'Institution Evaluation'!$A$55:$F$346,2,0),IFERROR(VLOOKUP($I182,'Privacy Analyst Evaluation'!$A$46:$F$120,2,0),""))</f>
        <v/>
      </c>
      <c r="K182" s="210" t="str">
        <f>IFERROR(VLOOKUP($I182,'Institution Evaluation'!$A$55:$F$346,3,0),IFERROR(VLOOKUP($I182,'Privacy Analyst Evaluation'!$A$46:$F$120,3,0),""))&amp;""</f>
        <v/>
      </c>
      <c r="L182" s="210" t="str">
        <f>IFERROR(VLOOKUP($I182,'Institution Evaluation'!$A$55:$F$346,4,0),IFERROR(VLOOKUP($I182,'Privacy Analyst Evaluation'!$A$46:$F$120,4,0),""))&amp;""</f>
        <v/>
      </c>
      <c r="M182" s="210"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2">
      <c r="A183" s="210" t="str">
        <f>IFERROR(IF($A182+1&gt;'(backend scoring)'!$T$335,"",$A182+1),"")</f>
        <v/>
      </c>
      <c r="B183" s="210" t="str">
        <f>_xlfn.XLOOKUP($A183,'(backend scoring)'!$V$2:$V$333,'(backend scoring)'!$A$2:$A$333,"")</f>
        <v/>
      </c>
      <c r="C183" s="210" t="str">
        <f>IFERROR(VLOOKUP($B183,'Institution Evaluation'!$A$55:$F$346,2,0),IFERROR(VLOOKUP($B183,'Privacy Analyst Evaluation'!$A$46:$F$120,2,0),""))&amp;""</f>
        <v/>
      </c>
      <c r="D183" s="210" t="str">
        <f>IFERROR(VLOOKUP($B183,'Institution Evaluation'!$A$55:$F$346,3,0),IFERROR(VLOOKUP($B183,'Privacy Analyst Evaluation'!$A$46:$F$120,3,0),""))&amp;""</f>
        <v/>
      </c>
      <c r="E183" s="210" t="str">
        <f>IFERROR(VLOOKUP($B183,'Institution Evaluation'!$A$55:$F$346,4,0),IFERROR(VLOOKUP($B183,'Privacy Analyst Evaluation'!$A$46:$F$120,4,0),""))&amp;""</f>
        <v/>
      </c>
      <c r="F183" s="210" t="str">
        <f>IFERROR(VLOOKUP($B183,'Institution Evaluation'!$A$55:$F$346,6,0),IFERROR(VLOOKUP($B183,'Privacy Analyst Evaluation'!$A$46:$F$120,6,0),""))&amp;""</f>
        <v/>
      </c>
      <c r="G183" s="211"/>
      <c r="H183" s="210" t="str">
        <f>IFERROR(IF($H182+1&gt;'(backend scoring)'!$Q$335,"",$H182+1),"")</f>
        <v/>
      </c>
      <c r="I183" s="210" t="str">
        <f>_xlfn.XLOOKUP($H183,'(backend scoring)'!$S$2:$S$333,'(backend scoring)'!$A$2:$A$333,"")</f>
        <v/>
      </c>
      <c r="J183" s="210" t="str">
        <f>IFERROR(VLOOKUP($I183,'Institution Evaluation'!$A$55:$F$346,2,0),IFERROR(VLOOKUP($I183,'Privacy Analyst Evaluation'!$A$46:$F$120,2,0),""))</f>
        <v/>
      </c>
      <c r="K183" s="210" t="str">
        <f>IFERROR(VLOOKUP($I183,'Institution Evaluation'!$A$55:$F$346,3,0),IFERROR(VLOOKUP($I183,'Privacy Analyst Evaluation'!$A$46:$F$120,3,0),""))&amp;""</f>
        <v/>
      </c>
      <c r="L183" s="210" t="str">
        <f>IFERROR(VLOOKUP($I183,'Institution Evaluation'!$A$55:$F$346,4,0),IFERROR(VLOOKUP($I183,'Privacy Analyst Evaluation'!$A$46:$F$120,4,0),""))&amp;""</f>
        <v/>
      </c>
      <c r="M183" s="210"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2">
      <c r="A184" s="210" t="str">
        <f>IFERROR(IF($A183+1&gt;'(backend scoring)'!$T$335,"",$A183+1),"")</f>
        <v/>
      </c>
      <c r="B184" s="210" t="str">
        <f>_xlfn.XLOOKUP($A184,'(backend scoring)'!$V$2:$V$333,'(backend scoring)'!$A$2:$A$333,"")</f>
        <v/>
      </c>
      <c r="C184" s="210" t="str">
        <f>IFERROR(VLOOKUP($B184,'Institution Evaluation'!$A$55:$F$346,2,0),IFERROR(VLOOKUP($B184,'Privacy Analyst Evaluation'!$A$46:$F$120,2,0),""))&amp;""</f>
        <v/>
      </c>
      <c r="D184" s="210" t="str">
        <f>IFERROR(VLOOKUP($B184,'Institution Evaluation'!$A$55:$F$346,3,0),IFERROR(VLOOKUP($B184,'Privacy Analyst Evaluation'!$A$46:$F$120,3,0),""))&amp;""</f>
        <v/>
      </c>
      <c r="E184" s="210" t="str">
        <f>IFERROR(VLOOKUP($B184,'Institution Evaluation'!$A$55:$F$346,4,0),IFERROR(VLOOKUP($B184,'Privacy Analyst Evaluation'!$A$46:$F$120,4,0),""))&amp;""</f>
        <v/>
      </c>
      <c r="F184" s="210" t="str">
        <f>IFERROR(VLOOKUP($B184,'Institution Evaluation'!$A$55:$F$346,6,0),IFERROR(VLOOKUP($B184,'Privacy Analyst Evaluation'!$A$46:$F$120,6,0),""))&amp;""</f>
        <v/>
      </c>
      <c r="G184" s="211"/>
      <c r="H184" s="210" t="str">
        <f>IFERROR(IF($H183+1&gt;'(backend scoring)'!$Q$335,"",$H183+1),"")</f>
        <v/>
      </c>
      <c r="I184" s="210" t="str">
        <f>_xlfn.XLOOKUP($H184,'(backend scoring)'!$S$2:$S$333,'(backend scoring)'!$A$2:$A$333,"")</f>
        <v/>
      </c>
      <c r="J184" s="210" t="str">
        <f>IFERROR(VLOOKUP($I184,'Institution Evaluation'!$A$55:$F$346,2,0),IFERROR(VLOOKUP($I184,'Privacy Analyst Evaluation'!$A$46:$F$120,2,0),""))</f>
        <v/>
      </c>
      <c r="K184" s="210" t="str">
        <f>IFERROR(VLOOKUP($I184,'Institution Evaluation'!$A$55:$F$346,3,0),IFERROR(VLOOKUP($I184,'Privacy Analyst Evaluation'!$A$46:$F$120,3,0),""))&amp;""</f>
        <v/>
      </c>
      <c r="L184" s="210" t="str">
        <f>IFERROR(VLOOKUP($I184,'Institution Evaluation'!$A$55:$F$346,4,0),IFERROR(VLOOKUP($I184,'Privacy Analyst Evaluation'!$A$46:$F$120,4,0),""))&amp;""</f>
        <v/>
      </c>
      <c r="M184" s="210"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2">
      <c r="A185" s="210" t="str">
        <f>IFERROR(IF($A184+1&gt;'(backend scoring)'!$T$335,"",$A184+1),"")</f>
        <v/>
      </c>
      <c r="B185" s="210" t="str">
        <f>_xlfn.XLOOKUP($A185,'(backend scoring)'!$V$2:$V$333,'(backend scoring)'!$A$2:$A$333,"")</f>
        <v/>
      </c>
      <c r="C185" s="210" t="str">
        <f>IFERROR(VLOOKUP($B185,'Institution Evaluation'!$A$55:$F$346,2,0),IFERROR(VLOOKUP($B185,'Privacy Analyst Evaluation'!$A$46:$F$120,2,0),""))&amp;""</f>
        <v/>
      </c>
      <c r="D185" s="210" t="str">
        <f>IFERROR(VLOOKUP($B185,'Institution Evaluation'!$A$55:$F$346,3,0),IFERROR(VLOOKUP($B185,'Privacy Analyst Evaluation'!$A$46:$F$120,3,0),""))&amp;""</f>
        <v/>
      </c>
      <c r="E185" s="210" t="str">
        <f>IFERROR(VLOOKUP($B185,'Institution Evaluation'!$A$55:$F$346,4,0),IFERROR(VLOOKUP($B185,'Privacy Analyst Evaluation'!$A$46:$F$120,4,0),""))&amp;""</f>
        <v/>
      </c>
      <c r="F185" s="210" t="str">
        <f>IFERROR(VLOOKUP($B185,'Institution Evaluation'!$A$55:$F$346,6,0),IFERROR(VLOOKUP($B185,'Privacy Analyst Evaluation'!$A$46:$F$120,6,0),""))&amp;""</f>
        <v/>
      </c>
      <c r="G185" s="211"/>
      <c r="H185" s="210" t="str">
        <f>IFERROR(IF($H184+1&gt;'(backend scoring)'!$Q$335,"",$H184+1),"")</f>
        <v/>
      </c>
      <c r="I185" s="210" t="str">
        <f>_xlfn.XLOOKUP($H185,'(backend scoring)'!$S$2:$S$333,'(backend scoring)'!$A$2:$A$333,"")</f>
        <v/>
      </c>
      <c r="J185" s="210" t="str">
        <f>IFERROR(VLOOKUP($I185,'Institution Evaluation'!$A$55:$F$346,2,0),IFERROR(VLOOKUP($I185,'Privacy Analyst Evaluation'!$A$46:$F$120,2,0),""))</f>
        <v/>
      </c>
      <c r="K185" s="210" t="str">
        <f>IFERROR(VLOOKUP($I185,'Institution Evaluation'!$A$55:$F$346,3,0),IFERROR(VLOOKUP($I185,'Privacy Analyst Evaluation'!$A$46:$F$120,3,0),""))&amp;""</f>
        <v/>
      </c>
      <c r="L185" s="210" t="str">
        <f>IFERROR(VLOOKUP($I185,'Institution Evaluation'!$A$55:$F$346,4,0),IFERROR(VLOOKUP($I185,'Privacy Analyst Evaluation'!$A$46:$F$120,4,0),""))&amp;""</f>
        <v/>
      </c>
      <c r="M185" s="210"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2">
      <c r="A186" s="210" t="str">
        <f>IFERROR(IF($A185+1&gt;'(backend scoring)'!$T$335,"",$A185+1),"")</f>
        <v/>
      </c>
      <c r="B186" s="210" t="str">
        <f>_xlfn.XLOOKUP($A186,'(backend scoring)'!$V$2:$V$333,'(backend scoring)'!$A$2:$A$333,"")</f>
        <v/>
      </c>
      <c r="C186" s="210" t="str">
        <f>IFERROR(VLOOKUP($B186,'Institution Evaluation'!$A$55:$F$346,2,0),IFERROR(VLOOKUP($B186,'Privacy Analyst Evaluation'!$A$46:$F$120,2,0),""))&amp;""</f>
        <v/>
      </c>
      <c r="D186" s="210" t="str">
        <f>IFERROR(VLOOKUP($B186,'Institution Evaluation'!$A$55:$F$346,3,0),IFERROR(VLOOKUP($B186,'Privacy Analyst Evaluation'!$A$46:$F$120,3,0),""))&amp;""</f>
        <v/>
      </c>
      <c r="E186" s="210" t="str">
        <f>IFERROR(VLOOKUP($B186,'Institution Evaluation'!$A$55:$F$346,4,0),IFERROR(VLOOKUP($B186,'Privacy Analyst Evaluation'!$A$46:$F$120,4,0),""))&amp;""</f>
        <v/>
      </c>
      <c r="F186" s="210" t="str">
        <f>IFERROR(VLOOKUP($B186,'Institution Evaluation'!$A$55:$F$346,6,0),IFERROR(VLOOKUP($B186,'Privacy Analyst Evaluation'!$A$46:$F$120,6,0),""))&amp;""</f>
        <v/>
      </c>
      <c r="G186" s="211"/>
      <c r="H186" s="210" t="str">
        <f>IFERROR(IF($H185+1&gt;'(backend scoring)'!$Q$335,"",$H185+1),"")</f>
        <v/>
      </c>
      <c r="I186" s="210" t="str">
        <f>_xlfn.XLOOKUP($H186,'(backend scoring)'!$S$2:$S$333,'(backend scoring)'!$A$2:$A$333,"")</f>
        <v/>
      </c>
      <c r="J186" s="210" t="str">
        <f>IFERROR(VLOOKUP($I186,'Institution Evaluation'!$A$55:$F$346,2,0),IFERROR(VLOOKUP($I186,'Privacy Analyst Evaluation'!$A$46:$F$120,2,0),""))</f>
        <v/>
      </c>
      <c r="K186" s="210" t="str">
        <f>IFERROR(VLOOKUP($I186,'Institution Evaluation'!$A$55:$F$346,3,0),IFERROR(VLOOKUP($I186,'Privacy Analyst Evaluation'!$A$46:$F$120,3,0),""))&amp;""</f>
        <v/>
      </c>
      <c r="L186" s="210" t="str">
        <f>IFERROR(VLOOKUP($I186,'Institution Evaluation'!$A$55:$F$346,4,0),IFERROR(VLOOKUP($I186,'Privacy Analyst Evaluation'!$A$46:$F$120,4,0),""))&amp;""</f>
        <v/>
      </c>
      <c r="M186" s="210"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2">
      <c r="A187" s="210" t="str">
        <f>IFERROR(IF($A186+1&gt;'(backend scoring)'!$T$335,"",$A186+1),"")</f>
        <v/>
      </c>
      <c r="B187" s="210" t="str">
        <f>_xlfn.XLOOKUP($A187,'(backend scoring)'!$V$2:$V$333,'(backend scoring)'!$A$2:$A$333,"")</f>
        <v/>
      </c>
      <c r="C187" s="210" t="str">
        <f>IFERROR(VLOOKUP($B187,'Institution Evaluation'!$A$55:$F$346,2,0),IFERROR(VLOOKUP($B187,'Privacy Analyst Evaluation'!$A$46:$F$120,2,0),""))&amp;""</f>
        <v/>
      </c>
      <c r="D187" s="210" t="str">
        <f>IFERROR(VLOOKUP($B187,'Institution Evaluation'!$A$55:$F$346,3,0),IFERROR(VLOOKUP($B187,'Privacy Analyst Evaluation'!$A$46:$F$120,3,0),""))&amp;""</f>
        <v/>
      </c>
      <c r="E187" s="210" t="str">
        <f>IFERROR(VLOOKUP($B187,'Institution Evaluation'!$A$55:$F$346,4,0),IFERROR(VLOOKUP($B187,'Privacy Analyst Evaluation'!$A$46:$F$120,4,0),""))&amp;""</f>
        <v/>
      </c>
      <c r="F187" s="210" t="str">
        <f>IFERROR(VLOOKUP($B187,'Institution Evaluation'!$A$55:$F$346,6,0),IFERROR(VLOOKUP($B187,'Privacy Analyst Evaluation'!$A$46:$F$120,6,0),""))&amp;""</f>
        <v/>
      </c>
      <c r="G187" s="211"/>
      <c r="H187" s="210" t="str">
        <f>IFERROR(IF($H186+1&gt;'(backend scoring)'!$Q$335,"",$H186+1),"")</f>
        <v/>
      </c>
      <c r="I187" s="210" t="str">
        <f>_xlfn.XLOOKUP($H187,'(backend scoring)'!$S$2:$S$333,'(backend scoring)'!$A$2:$A$333,"")</f>
        <v/>
      </c>
      <c r="J187" s="210" t="str">
        <f>IFERROR(VLOOKUP($I187,'Institution Evaluation'!$A$55:$F$346,2,0),IFERROR(VLOOKUP($I187,'Privacy Analyst Evaluation'!$A$46:$F$120,2,0),""))</f>
        <v/>
      </c>
      <c r="K187" s="210" t="str">
        <f>IFERROR(VLOOKUP($I187,'Institution Evaluation'!$A$55:$F$346,3,0),IFERROR(VLOOKUP($I187,'Privacy Analyst Evaluation'!$A$46:$F$120,3,0),""))&amp;""</f>
        <v/>
      </c>
      <c r="L187" s="210" t="str">
        <f>IFERROR(VLOOKUP($I187,'Institution Evaluation'!$A$55:$F$346,4,0),IFERROR(VLOOKUP($I187,'Privacy Analyst Evaluation'!$A$46:$F$120,4,0),""))&amp;""</f>
        <v/>
      </c>
      <c r="M187" s="210"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2">
      <c r="A188" s="210" t="str">
        <f>IFERROR(IF($A187+1&gt;'(backend scoring)'!$T$335,"",$A187+1),"")</f>
        <v/>
      </c>
      <c r="B188" s="210" t="str">
        <f>_xlfn.XLOOKUP($A188,'(backend scoring)'!$V$2:$V$333,'(backend scoring)'!$A$2:$A$333,"")</f>
        <v/>
      </c>
      <c r="C188" s="210" t="str">
        <f>IFERROR(VLOOKUP($B188,'Institution Evaluation'!$A$55:$F$346,2,0),IFERROR(VLOOKUP($B188,'Privacy Analyst Evaluation'!$A$46:$F$120,2,0),""))&amp;""</f>
        <v/>
      </c>
      <c r="D188" s="210" t="str">
        <f>IFERROR(VLOOKUP($B188,'Institution Evaluation'!$A$55:$F$346,3,0),IFERROR(VLOOKUP($B188,'Privacy Analyst Evaluation'!$A$46:$F$120,3,0),""))&amp;""</f>
        <v/>
      </c>
      <c r="E188" s="210" t="str">
        <f>IFERROR(VLOOKUP($B188,'Institution Evaluation'!$A$55:$F$346,4,0),IFERROR(VLOOKUP($B188,'Privacy Analyst Evaluation'!$A$46:$F$120,4,0),""))&amp;""</f>
        <v/>
      </c>
      <c r="F188" s="210" t="str">
        <f>IFERROR(VLOOKUP($B188,'Institution Evaluation'!$A$55:$F$346,6,0),IFERROR(VLOOKUP($B188,'Privacy Analyst Evaluation'!$A$46:$F$120,6,0),""))&amp;""</f>
        <v/>
      </c>
      <c r="G188" s="211"/>
      <c r="H188" s="210" t="str">
        <f>IFERROR(IF($H187+1&gt;'(backend scoring)'!$Q$335,"",$H187+1),"")</f>
        <v/>
      </c>
      <c r="I188" s="210" t="str">
        <f>_xlfn.XLOOKUP($H188,'(backend scoring)'!$S$2:$S$333,'(backend scoring)'!$A$2:$A$333,"")</f>
        <v/>
      </c>
      <c r="J188" s="210" t="str">
        <f>IFERROR(VLOOKUP($I188,'Institution Evaluation'!$A$55:$F$346,2,0),IFERROR(VLOOKUP($I188,'Privacy Analyst Evaluation'!$A$46:$F$120,2,0),""))</f>
        <v/>
      </c>
      <c r="K188" s="210" t="str">
        <f>IFERROR(VLOOKUP($I188,'Institution Evaluation'!$A$55:$F$346,3,0),IFERROR(VLOOKUP($I188,'Privacy Analyst Evaluation'!$A$46:$F$120,3,0),""))&amp;""</f>
        <v/>
      </c>
      <c r="L188" s="210" t="str">
        <f>IFERROR(VLOOKUP($I188,'Institution Evaluation'!$A$55:$F$346,4,0),IFERROR(VLOOKUP($I188,'Privacy Analyst Evaluation'!$A$46:$F$120,4,0),""))&amp;""</f>
        <v/>
      </c>
      <c r="M188" s="210"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2">
      <c r="A189" s="210" t="str">
        <f>IFERROR(IF($A188+1&gt;'(backend scoring)'!$T$335,"",$A188+1),"")</f>
        <v/>
      </c>
      <c r="B189" s="210" t="str">
        <f>_xlfn.XLOOKUP($A189,'(backend scoring)'!$V$2:$V$333,'(backend scoring)'!$A$2:$A$333,"")</f>
        <v/>
      </c>
      <c r="C189" s="210" t="str">
        <f>IFERROR(VLOOKUP($B189,'Institution Evaluation'!$A$55:$F$346,2,0),IFERROR(VLOOKUP($B189,'Privacy Analyst Evaluation'!$A$46:$F$120,2,0),""))&amp;""</f>
        <v/>
      </c>
      <c r="D189" s="210" t="str">
        <f>IFERROR(VLOOKUP($B189,'Institution Evaluation'!$A$55:$F$346,3,0),IFERROR(VLOOKUP($B189,'Privacy Analyst Evaluation'!$A$46:$F$120,3,0),""))&amp;""</f>
        <v/>
      </c>
      <c r="E189" s="210" t="str">
        <f>IFERROR(VLOOKUP($B189,'Institution Evaluation'!$A$55:$F$346,4,0),IFERROR(VLOOKUP($B189,'Privacy Analyst Evaluation'!$A$46:$F$120,4,0),""))&amp;""</f>
        <v/>
      </c>
      <c r="F189" s="210" t="str">
        <f>IFERROR(VLOOKUP($B189,'Institution Evaluation'!$A$55:$F$346,6,0),IFERROR(VLOOKUP($B189,'Privacy Analyst Evaluation'!$A$46:$F$120,6,0),""))&amp;""</f>
        <v/>
      </c>
      <c r="G189" s="211"/>
      <c r="H189" s="210" t="str">
        <f>IFERROR(IF($H188+1&gt;'(backend scoring)'!$Q$335,"",$H188+1),"")</f>
        <v/>
      </c>
      <c r="I189" s="210" t="str">
        <f>_xlfn.XLOOKUP($H189,'(backend scoring)'!$S$2:$S$333,'(backend scoring)'!$A$2:$A$333,"")</f>
        <v/>
      </c>
      <c r="J189" s="210" t="str">
        <f>IFERROR(VLOOKUP($I189,'Institution Evaluation'!$A$55:$F$346,2,0),IFERROR(VLOOKUP($I189,'Privacy Analyst Evaluation'!$A$46:$F$120,2,0),""))</f>
        <v/>
      </c>
      <c r="K189" s="210" t="str">
        <f>IFERROR(VLOOKUP($I189,'Institution Evaluation'!$A$55:$F$346,3,0),IFERROR(VLOOKUP($I189,'Privacy Analyst Evaluation'!$A$46:$F$120,3,0),""))&amp;""</f>
        <v/>
      </c>
      <c r="L189" s="210" t="str">
        <f>IFERROR(VLOOKUP($I189,'Institution Evaluation'!$A$55:$F$346,4,0),IFERROR(VLOOKUP($I189,'Privacy Analyst Evaluation'!$A$46:$F$120,4,0),""))&amp;""</f>
        <v/>
      </c>
      <c r="M189" s="210"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2">
      <c r="A190" s="210" t="str">
        <f>IFERROR(IF($A189+1&gt;'(backend scoring)'!$T$335,"",$A189+1),"")</f>
        <v/>
      </c>
      <c r="B190" s="210" t="str">
        <f>_xlfn.XLOOKUP($A190,'(backend scoring)'!$V$2:$V$333,'(backend scoring)'!$A$2:$A$333,"")</f>
        <v/>
      </c>
      <c r="C190" s="210" t="str">
        <f>IFERROR(VLOOKUP($B190,'Institution Evaluation'!$A$55:$F$346,2,0),IFERROR(VLOOKUP($B190,'Privacy Analyst Evaluation'!$A$46:$F$120,2,0),""))&amp;""</f>
        <v/>
      </c>
      <c r="D190" s="210" t="str">
        <f>IFERROR(VLOOKUP($B190,'Institution Evaluation'!$A$55:$F$346,3,0),IFERROR(VLOOKUP($B190,'Privacy Analyst Evaluation'!$A$46:$F$120,3,0),""))&amp;""</f>
        <v/>
      </c>
      <c r="E190" s="210" t="str">
        <f>IFERROR(VLOOKUP($B190,'Institution Evaluation'!$A$55:$F$346,4,0),IFERROR(VLOOKUP($B190,'Privacy Analyst Evaluation'!$A$46:$F$120,4,0),""))&amp;""</f>
        <v/>
      </c>
      <c r="F190" s="210" t="str">
        <f>IFERROR(VLOOKUP($B190,'Institution Evaluation'!$A$55:$F$346,6,0),IFERROR(VLOOKUP($B190,'Privacy Analyst Evaluation'!$A$46:$F$120,6,0),""))&amp;""</f>
        <v/>
      </c>
      <c r="G190" s="211"/>
      <c r="H190" s="210" t="str">
        <f>IFERROR(IF($H189+1&gt;'(backend scoring)'!$Q$335,"",$H189+1),"")</f>
        <v/>
      </c>
      <c r="I190" s="210" t="str">
        <f>_xlfn.XLOOKUP($H190,'(backend scoring)'!$S$2:$S$333,'(backend scoring)'!$A$2:$A$333,"")</f>
        <v/>
      </c>
      <c r="J190" s="210" t="str">
        <f>IFERROR(VLOOKUP($I190,'Institution Evaluation'!$A$55:$F$346,2,0),IFERROR(VLOOKUP($I190,'Privacy Analyst Evaluation'!$A$46:$F$120,2,0),""))</f>
        <v/>
      </c>
      <c r="K190" s="210" t="str">
        <f>IFERROR(VLOOKUP($I190,'Institution Evaluation'!$A$55:$F$346,3,0),IFERROR(VLOOKUP($I190,'Privacy Analyst Evaluation'!$A$46:$F$120,3,0),""))&amp;""</f>
        <v/>
      </c>
      <c r="L190" s="210" t="str">
        <f>IFERROR(VLOOKUP($I190,'Institution Evaluation'!$A$55:$F$346,4,0),IFERROR(VLOOKUP($I190,'Privacy Analyst Evaluation'!$A$46:$F$120,4,0),""))&amp;""</f>
        <v/>
      </c>
      <c r="M190" s="210"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2">
      <c r="A191" s="210" t="str">
        <f>IFERROR(IF($A190+1&gt;'(backend scoring)'!$T$335,"",$A190+1),"")</f>
        <v/>
      </c>
      <c r="B191" s="210" t="str">
        <f>_xlfn.XLOOKUP($A191,'(backend scoring)'!$V$2:$V$333,'(backend scoring)'!$A$2:$A$333,"")</f>
        <v/>
      </c>
      <c r="C191" s="210" t="str">
        <f>IFERROR(VLOOKUP($B191,'Institution Evaluation'!$A$55:$F$346,2,0),IFERROR(VLOOKUP($B191,'Privacy Analyst Evaluation'!$A$46:$F$120,2,0),""))&amp;""</f>
        <v/>
      </c>
      <c r="D191" s="210" t="str">
        <f>IFERROR(VLOOKUP($B191,'Institution Evaluation'!$A$55:$F$346,3,0),IFERROR(VLOOKUP($B191,'Privacy Analyst Evaluation'!$A$46:$F$120,3,0),""))&amp;""</f>
        <v/>
      </c>
      <c r="E191" s="210" t="str">
        <f>IFERROR(VLOOKUP($B191,'Institution Evaluation'!$A$55:$F$346,4,0),IFERROR(VLOOKUP($B191,'Privacy Analyst Evaluation'!$A$46:$F$120,4,0),""))&amp;""</f>
        <v/>
      </c>
      <c r="F191" s="210" t="str">
        <f>IFERROR(VLOOKUP($B191,'Institution Evaluation'!$A$55:$F$346,6,0),IFERROR(VLOOKUP($B191,'Privacy Analyst Evaluation'!$A$46:$F$120,6,0),""))&amp;""</f>
        <v/>
      </c>
      <c r="G191" s="211"/>
      <c r="H191" s="210" t="str">
        <f>IFERROR(IF($H190+1&gt;'(backend scoring)'!$Q$335,"",$H190+1),"")</f>
        <v/>
      </c>
      <c r="I191" s="210" t="str">
        <f>_xlfn.XLOOKUP($H191,'(backend scoring)'!$S$2:$S$333,'(backend scoring)'!$A$2:$A$333,"")</f>
        <v/>
      </c>
      <c r="J191" s="210" t="str">
        <f>IFERROR(VLOOKUP($I191,'Institution Evaluation'!$A$55:$F$346,2,0),IFERROR(VLOOKUP($I191,'Privacy Analyst Evaluation'!$A$46:$F$120,2,0),""))</f>
        <v/>
      </c>
      <c r="K191" s="210" t="str">
        <f>IFERROR(VLOOKUP($I191,'Institution Evaluation'!$A$55:$F$346,3,0),IFERROR(VLOOKUP($I191,'Privacy Analyst Evaluation'!$A$46:$F$120,3,0),""))&amp;""</f>
        <v/>
      </c>
      <c r="L191" s="210" t="str">
        <f>IFERROR(VLOOKUP($I191,'Institution Evaluation'!$A$55:$F$346,4,0),IFERROR(VLOOKUP($I191,'Privacy Analyst Evaluation'!$A$46:$F$120,4,0),""))&amp;""</f>
        <v/>
      </c>
      <c r="M191" s="210"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2">
      <c r="A192" s="210" t="str">
        <f>IFERROR(IF($A191+1&gt;'(backend scoring)'!$T$335,"",$A191+1),"")</f>
        <v/>
      </c>
      <c r="B192" s="210" t="str">
        <f>_xlfn.XLOOKUP($A192,'(backend scoring)'!$V$2:$V$333,'(backend scoring)'!$A$2:$A$333,"")</f>
        <v/>
      </c>
      <c r="C192" s="210" t="str">
        <f>IFERROR(VLOOKUP($B192,'Institution Evaluation'!$A$55:$F$346,2,0),IFERROR(VLOOKUP($B192,'Privacy Analyst Evaluation'!$A$46:$F$120,2,0),""))&amp;""</f>
        <v/>
      </c>
      <c r="D192" s="210" t="str">
        <f>IFERROR(VLOOKUP($B192,'Institution Evaluation'!$A$55:$F$346,3,0),IFERROR(VLOOKUP($B192,'Privacy Analyst Evaluation'!$A$46:$F$120,3,0),""))&amp;""</f>
        <v/>
      </c>
      <c r="E192" s="210" t="str">
        <f>IFERROR(VLOOKUP($B192,'Institution Evaluation'!$A$55:$F$346,4,0),IFERROR(VLOOKUP($B192,'Privacy Analyst Evaluation'!$A$46:$F$120,4,0),""))&amp;""</f>
        <v/>
      </c>
      <c r="F192" s="210" t="str">
        <f>IFERROR(VLOOKUP($B192,'Institution Evaluation'!$A$55:$F$346,6,0),IFERROR(VLOOKUP($B192,'Privacy Analyst Evaluation'!$A$46:$F$120,6,0),""))&amp;""</f>
        <v/>
      </c>
      <c r="G192" s="211"/>
      <c r="H192" s="210" t="str">
        <f>IFERROR(IF($H191+1&gt;'(backend scoring)'!$Q$335,"",$H191+1),"")</f>
        <v/>
      </c>
      <c r="I192" s="210" t="str">
        <f>_xlfn.XLOOKUP($H192,'(backend scoring)'!$S$2:$S$333,'(backend scoring)'!$A$2:$A$333,"")</f>
        <v/>
      </c>
      <c r="J192" s="210" t="str">
        <f>IFERROR(VLOOKUP($I192,'Institution Evaluation'!$A$55:$F$346,2,0),IFERROR(VLOOKUP($I192,'Privacy Analyst Evaluation'!$A$46:$F$120,2,0),""))</f>
        <v/>
      </c>
      <c r="K192" s="210" t="str">
        <f>IFERROR(VLOOKUP($I192,'Institution Evaluation'!$A$55:$F$346,3,0),IFERROR(VLOOKUP($I192,'Privacy Analyst Evaluation'!$A$46:$F$120,3,0),""))&amp;""</f>
        <v/>
      </c>
      <c r="L192" s="210" t="str">
        <f>IFERROR(VLOOKUP($I192,'Institution Evaluation'!$A$55:$F$346,4,0),IFERROR(VLOOKUP($I192,'Privacy Analyst Evaluation'!$A$46:$F$120,4,0),""))&amp;""</f>
        <v/>
      </c>
      <c r="M192" s="210"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2">
      <c r="A193" s="210" t="str">
        <f>IFERROR(IF($A192+1&gt;'(backend scoring)'!$T$335,"",$A192+1),"")</f>
        <v/>
      </c>
      <c r="B193" s="210" t="str">
        <f>_xlfn.XLOOKUP($A193,'(backend scoring)'!$V$2:$V$333,'(backend scoring)'!$A$2:$A$333,"")</f>
        <v/>
      </c>
      <c r="C193" s="210" t="str">
        <f>IFERROR(VLOOKUP($B193,'Institution Evaluation'!$A$55:$F$346,2,0),IFERROR(VLOOKUP($B193,'Privacy Analyst Evaluation'!$A$46:$F$120,2,0),""))&amp;""</f>
        <v/>
      </c>
      <c r="D193" s="210" t="str">
        <f>IFERROR(VLOOKUP($B193,'Institution Evaluation'!$A$55:$F$346,3,0),IFERROR(VLOOKUP($B193,'Privacy Analyst Evaluation'!$A$46:$F$120,3,0),""))&amp;""</f>
        <v/>
      </c>
      <c r="E193" s="210" t="str">
        <f>IFERROR(VLOOKUP($B193,'Institution Evaluation'!$A$55:$F$346,4,0),IFERROR(VLOOKUP($B193,'Privacy Analyst Evaluation'!$A$46:$F$120,4,0),""))&amp;""</f>
        <v/>
      </c>
      <c r="F193" s="210" t="str">
        <f>IFERROR(VLOOKUP($B193,'Institution Evaluation'!$A$55:$F$346,6,0),IFERROR(VLOOKUP($B193,'Privacy Analyst Evaluation'!$A$46:$F$120,6,0),""))&amp;""</f>
        <v/>
      </c>
      <c r="G193" s="211"/>
      <c r="H193" s="210" t="str">
        <f>IFERROR(IF($H192+1&gt;'(backend scoring)'!$Q$335,"",$H192+1),"")</f>
        <v/>
      </c>
      <c r="I193" s="210" t="str">
        <f>_xlfn.XLOOKUP($H193,'(backend scoring)'!$S$2:$S$333,'(backend scoring)'!$A$2:$A$333,"")</f>
        <v/>
      </c>
      <c r="J193" s="210" t="str">
        <f>IFERROR(VLOOKUP($I193,'Institution Evaluation'!$A$55:$F$346,2,0),IFERROR(VLOOKUP($I193,'Privacy Analyst Evaluation'!$A$46:$F$120,2,0),""))</f>
        <v/>
      </c>
      <c r="K193" s="210" t="str">
        <f>IFERROR(VLOOKUP($I193,'Institution Evaluation'!$A$55:$F$346,3,0),IFERROR(VLOOKUP($I193,'Privacy Analyst Evaluation'!$A$46:$F$120,3,0),""))&amp;""</f>
        <v/>
      </c>
      <c r="L193" s="210" t="str">
        <f>IFERROR(VLOOKUP($I193,'Institution Evaluation'!$A$55:$F$346,4,0),IFERROR(VLOOKUP($I193,'Privacy Analyst Evaluation'!$A$46:$F$120,4,0),""))&amp;""</f>
        <v/>
      </c>
      <c r="M193" s="210"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2">
      <c r="A194" s="210" t="str">
        <f>IFERROR(IF($A193+1&gt;'(backend scoring)'!$T$335,"",$A193+1),"")</f>
        <v/>
      </c>
      <c r="B194" s="210" t="str">
        <f>_xlfn.XLOOKUP($A194,'(backend scoring)'!$V$2:$V$333,'(backend scoring)'!$A$2:$A$333,"")</f>
        <v/>
      </c>
      <c r="C194" s="210" t="str">
        <f>IFERROR(VLOOKUP($B194,'Institution Evaluation'!$A$55:$F$346,2,0),IFERROR(VLOOKUP($B194,'Privacy Analyst Evaluation'!$A$46:$F$120,2,0),""))&amp;""</f>
        <v/>
      </c>
      <c r="D194" s="210" t="str">
        <f>IFERROR(VLOOKUP($B194,'Institution Evaluation'!$A$55:$F$346,3,0),IFERROR(VLOOKUP($B194,'Privacy Analyst Evaluation'!$A$46:$F$120,3,0),""))&amp;""</f>
        <v/>
      </c>
      <c r="E194" s="210" t="str">
        <f>IFERROR(VLOOKUP($B194,'Institution Evaluation'!$A$55:$F$346,4,0),IFERROR(VLOOKUP($B194,'Privacy Analyst Evaluation'!$A$46:$F$120,4,0),""))&amp;""</f>
        <v/>
      </c>
      <c r="F194" s="210" t="str">
        <f>IFERROR(VLOOKUP($B194,'Institution Evaluation'!$A$55:$F$346,6,0),IFERROR(VLOOKUP($B194,'Privacy Analyst Evaluation'!$A$46:$F$120,6,0),""))&amp;""</f>
        <v/>
      </c>
      <c r="G194" s="211"/>
      <c r="H194" s="210" t="str">
        <f>IFERROR(IF($H193+1&gt;'(backend scoring)'!$Q$335,"",$H193+1),"")</f>
        <v/>
      </c>
      <c r="I194" s="210" t="str">
        <f>_xlfn.XLOOKUP($H194,'(backend scoring)'!$S$2:$S$333,'(backend scoring)'!$A$2:$A$333,"")</f>
        <v/>
      </c>
      <c r="J194" s="210" t="str">
        <f>IFERROR(VLOOKUP($I194,'Institution Evaluation'!$A$55:$F$346,2,0),IFERROR(VLOOKUP($I194,'Privacy Analyst Evaluation'!$A$46:$F$120,2,0),""))</f>
        <v/>
      </c>
      <c r="K194" s="210" t="str">
        <f>IFERROR(VLOOKUP($I194,'Institution Evaluation'!$A$55:$F$346,3,0),IFERROR(VLOOKUP($I194,'Privacy Analyst Evaluation'!$A$46:$F$120,3,0),""))&amp;""</f>
        <v/>
      </c>
      <c r="L194" s="210" t="str">
        <f>IFERROR(VLOOKUP($I194,'Institution Evaluation'!$A$55:$F$346,4,0),IFERROR(VLOOKUP($I194,'Privacy Analyst Evaluation'!$A$46:$F$120,4,0),""))&amp;""</f>
        <v/>
      </c>
      <c r="M194" s="210"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2">
      <c r="A195" s="210" t="str">
        <f>IFERROR(IF($A194+1&gt;'(backend scoring)'!$T$335,"",$A194+1),"")</f>
        <v/>
      </c>
      <c r="B195" s="210" t="str">
        <f>_xlfn.XLOOKUP($A195,'(backend scoring)'!$V$2:$V$333,'(backend scoring)'!$A$2:$A$333,"")</f>
        <v/>
      </c>
      <c r="C195" s="210" t="str">
        <f>IFERROR(VLOOKUP($B195,'Institution Evaluation'!$A$55:$F$346,2,0),IFERROR(VLOOKUP($B195,'Privacy Analyst Evaluation'!$A$46:$F$120,2,0),""))&amp;""</f>
        <v/>
      </c>
      <c r="D195" s="210" t="str">
        <f>IFERROR(VLOOKUP($B195,'Institution Evaluation'!$A$55:$F$346,3,0),IFERROR(VLOOKUP($B195,'Privacy Analyst Evaluation'!$A$46:$F$120,3,0),""))&amp;""</f>
        <v/>
      </c>
      <c r="E195" s="210" t="str">
        <f>IFERROR(VLOOKUP($B195,'Institution Evaluation'!$A$55:$F$346,4,0),IFERROR(VLOOKUP($B195,'Privacy Analyst Evaluation'!$A$46:$F$120,4,0),""))&amp;""</f>
        <v/>
      </c>
      <c r="F195" s="210" t="str">
        <f>IFERROR(VLOOKUP($B195,'Institution Evaluation'!$A$55:$F$346,6,0),IFERROR(VLOOKUP($B195,'Privacy Analyst Evaluation'!$A$46:$F$120,6,0),""))&amp;""</f>
        <v/>
      </c>
      <c r="G195" s="211"/>
      <c r="H195" s="210" t="str">
        <f>IFERROR(IF($H194+1&gt;'(backend scoring)'!$Q$335,"",$H194+1),"")</f>
        <v/>
      </c>
      <c r="I195" s="210" t="str">
        <f>_xlfn.XLOOKUP($H195,'(backend scoring)'!$S$2:$S$333,'(backend scoring)'!$A$2:$A$333,"")</f>
        <v/>
      </c>
      <c r="J195" s="210" t="str">
        <f>IFERROR(VLOOKUP($I195,'Institution Evaluation'!$A$55:$F$346,2,0),IFERROR(VLOOKUP($I195,'Privacy Analyst Evaluation'!$A$46:$F$120,2,0),""))</f>
        <v/>
      </c>
      <c r="K195" s="210" t="str">
        <f>IFERROR(VLOOKUP($I195,'Institution Evaluation'!$A$55:$F$346,3,0),IFERROR(VLOOKUP($I195,'Privacy Analyst Evaluation'!$A$46:$F$120,3,0),""))&amp;""</f>
        <v/>
      </c>
      <c r="L195" s="210" t="str">
        <f>IFERROR(VLOOKUP($I195,'Institution Evaluation'!$A$55:$F$346,4,0),IFERROR(VLOOKUP($I195,'Privacy Analyst Evaluation'!$A$46:$F$120,4,0),""))&amp;""</f>
        <v/>
      </c>
      <c r="M195" s="210"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2">
      <c r="A196" s="210" t="str">
        <f>IFERROR(IF($A195+1&gt;'(backend scoring)'!$T$335,"",$A195+1),"")</f>
        <v/>
      </c>
      <c r="B196" s="210" t="str">
        <f>_xlfn.XLOOKUP($A196,'(backend scoring)'!$V$2:$V$333,'(backend scoring)'!$A$2:$A$333,"")</f>
        <v/>
      </c>
      <c r="C196" s="210" t="str">
        <f>IFERROR(VLOOKUP($B196,'Institution Evaluation'!$A$55:$F$346,2,0),IFERROR(VLOOKUP($B196,'Privacy Analyst Evaluation'!$A$46:$F$120,2,0),""))&amp;""</f>
        <v/>
      </c>
      <c r="D196" s="210" t="str">
        <f>IFERROR(VLOOKUP($B196,'Institution Evaluation'!$A$55:$F$346,3,0),IFERROR(VLOOKUP($B196,'Privacy Analyst Evaluation'!$A$46:$F$120,3,0),""))&amp;""</f>
        <v/>
      </c>
      <c r="E196" s="210" t="str">
        <f>IFERROR(VLOOKUP($B196,'Institution Evaluation'!$A$55:$F$346,4,0),IFERROR(VLOOKUP($B196,'Privacy Analyst Evaluation'!$A$46:$F$120,4,0),""))&amp;""</f>
        <v/>
      </c>
      <c r="F196" s="210" t="str">
        <f>IFERROR(VLOOKUP($B196,'Institution Evaluation'!$A$55:$F$346,6,0),IFERROR(VLOOKUP($B196,'Privacy Analyst Evaluation'!$A$46:$F$120,6,0),""))&amp;""</f>
        <v/>
      </c>
      <c r="G196" s="211"/>
      <c r="H196" s="210" t="str">
        <f>IFERROR(IF($H195+1&gt;'(backend scoring)'!$Q$335,"",$H195+1),"")</f>
        <v/>
      </c>
      <c r="I196" s="210" t="str">
        <f>_xlfn.XLOOKUP($H196,'(backend scoring)'!$S$2:$S$333,'(backend scoring)'!$A$2:$A$333,"")</f>
        <v/>
      </c>
      <c r="J196" s="210" t="str">
        <f>IFERROR(VLOOKUP($I196,'Institution Evaluation'!$A$55:$F$346,2,0),IFERROR(VLOOKUP($I196,'Privacy Analyst Evaluation'!$A$46:$F$120,2,0),""))</f>
        <v/>
      </c>
      <c r="K196" s="210" t="str">
        <f>IFERROR(VLOOKUP($I196,'Institution Evaluation'!$A$55:$F$346,3,0),IFERROR(VLOOKUP($I196,'Privacy Analyst Evaluation'!$A$46:$F$120,3,0),""))&amp;""</f>
        <v/>
      </c>
      <c r="L196" s="210" t="str">
        <f>IFERROR(VLOOKUP($I196,'Institution Evaluation'!$A$55:$F$346,4,0),IFERROR(VLOOKUP($I196,'Privacy Analyst Evaluation'!$A$46:$F$120,4,0),""))&amp;""</f>
        <v/>
      </c>
      <c r="M196" s="210"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2">
      <c r="A197" s="210" t="str">
        <f>IFERROR(IF($A196+1&gt;'(backend scoring)'!$T$335,"",$A196+1),"")</f>
        <v/>
      </c>
      <c r="B197" s="210" t="str">
        <f>_xlfn.XLOOKUP($A197,'(backend scoring)'!$V$2:$V$333,'(backend scoring)'!$A$2:$A$333,"")</f>
        <v/>
      </c>
      <c r="C197" s="210" t="str">
        <f>IFERROR(VLOOKUP($B197,'Institution Evaluation'!$A$55:$F$346,2,0),IFERROR(VLOOKUP($B197,'Privacy Analyst Evaluation'!$A$46:$F$120,2,0),""))&amp;""</f>
        <v/>
      </c>
      <c r="D197" s="210" t="str">
        <f>IFERROR(VLOOKUP($B197,'Institution Evaluation'!$A$55:$F$346,3,0),IFERROR(VLOOKUP($B197,'Privacy Analyst Evaluation'!$A$46:$F$120,3,0),""))&amp;""</f>
        <v/>
      </c>
      <c r="E197" s="210" t="str">
        <f>IFERROR(VLOOKUP($B197,'Institution Evaluation'!$A$55:$F$346,4,0),IFERROR(VLOOKUP($B197,'Privacy Analyst Evaluation'!$A$46:$F$120,4,0),""))&amp;""</f>
        <v/>
      </c>
      <c r="F197" s="210" t="str">
        <f>IFERROR(VLOOKUP($B197,'Institution Evaluation'!$A$55:$F$346,6,0),IFERROR(VLOOKUP($B197,'Privacy Analyst Evaluation'!$A$46:$F$120,6,0),""))&amp;""</f>
        <v/>
      </c>
      <c r="G197" s="211"/>
      <c r="H197" s="210" t="str">
        <f>IFERROR(IF($H196+1&gt;'(backend scoring)'!$Q$335,"",$H196+1),"")</f>
        <v/>
      </c>
      <c r="I197" s="210" t="str">
        <f>_xlfn.XLOOKUP($H197,'(backend scoring)'!$S$2:$S$333,'(backend scoring)'!$A$2:$A$333,"")</f>
        <v/>
      </c>
      <c r="J197" s="210" t="str">
        <f>IFERROR(VLOOKUP($I197,'Institution Evaluation'!$A$55:$F$346,2,0),IFERROR(VLOOKUP($I197,'Privacy Analyst Evaluation'!$A$46:$F$120,2,0),""))</f>
        <v/>
      </c>
      <c r="K197" s="210" t="str">
        <f>IFERROR(VLOOKUP($I197,'Institution Evaluation'!$A$55:$F$346,3,0),IFERROR(VLOOKUP($I197,'Privacy Analyst Evaluation'!$A$46:$F$120,3,0),""))&amp;""</f>
        <v/>
      </c>
      <c r="L197" s="210" t="str">
        <f>IFERROR(VLOOKUP($I197,'Institution Evaluation'!$A$55:$F$346,4,0),IFERROR(VLOOKUP($I197,'Privacy Analyst Evaluation'!$A$46:$F$120,4,0),""))&amp;""</f>
        <v/>
      </c>
      <c r="M197" s="210"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2">
      <c r="A198" s="210" t="str">
        <f>IFERROR(IF($A197+1&gt;'(backend scoring)'!$T$335,"",$A197+1),"")</f>
        <v/>
      </c>
      <c r="B198" s="210" t="str">
        <f>_xlfn.XLOOKUP($A198,'(backend scoring)'!$V$2:$V$333,'(backend scoring)'!$A$2:$A$333,"")</f>
        <v/>
      </c>
      <c r="C198" s="210" t="str">
        <f>IFERROR(VLOOKUP($B198,'Institution Evaluation'!$A$55:$F$346,2,0),IFERROR(VLOOKUP($B198,'Privacy Analyst Evaluation'!$A$46:$F$120,2,0),""))&amp;""</f>
        <v/>
      </c>
      <c r="D198" s="210" t="str">
        <f>IFERROR(VLOOKUP($B198,'Institution Evaluation'!$A$55:$F$346,3,0),IFERROR(VLOOKUP($B198,'Privacy Analyst Evaluation'!$A$46:$F$120,3,0),""))&amp;""</f>
        <v/>
      </c>
      <c r="E198" s="210" t="str">
        <f>IFERROR(VLOOKUP($B198,'Institution Evaluation'!$A$55:$F$346,4,0),IFERROR(VLOOKUP($B198,'Privacy Analyst Evaluation'!$A$46:$F$120,4,0),""))&amp;""</f>
        <v/>
      </c>
      <c r="F198" s="210" t="str">
        <f>IFERROR(VLOOKUP($B198,'Institution Evaluation'!$A$55:$F$346,6,0),IFERROR(VLOOKUP($B198,'Privacy Analyst Evaluation'!$A$46:$F$120,6,0),""))&amp;""</f>
        <v/>
      </c>
      <c r="G198" s="211"/>
      <c r="H198" s="210" t="str">
        <f>IFERROR(IF($H197+1&gt;'(backend scoring)'!$Q$335,"",$H197+1),"")</f>
        <v/>
      </c>
      <c r="I198" s="210" t="str">
        <f>_xlfn.XLOOKUP($H198,'(backend scoring)'!$S$2:$S$333,'(backend scoring)'!$A$2:$A$333,"")</f>
        <v/>
      </c>
      <c r="J198" s="210" t="str">
        <f>IFERROR(VLOOKUP($I198,'Institution Evaluation'!$A$55:$F$346,2,0),IFERROR(VLOOKUP($I198,'Privacy Analyst Evaluation'!$A$46:$F$120,2,0),""))</f>
        <v/>
      </c>
      <c r="K198" s="210" t="str">
        <f>IFERROR(VLOOKUP($I198,'Institution Evaluation'!$A$55:$F$346,3,0),IFERROR(VLOOKUP($I198,'Privacy Analyst Evaluation'!$A$46:$F$120,3,0),""))&amp;""</f>
        <v/>
      </c>
      <c r="L198" s="210" t="str">
        <f>IFERROR(VLOOKUP($I198,'Institution Evaluation'!$A$55:$F$346,4,0),IFERROR(VLOOKUP($I198,'Privacy Analyst Evaluation'!$A$46:$F$120,4,0),""))&amp;""</f>
        <v/>
      </c>
      <c r="M198" s="210"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2">
      <c r="A199" s="210" t="str">
        <f>IFERROR(IF($A198+1&gt;'(backend scoring)'!$T$335,"",$A198+1),"")</f>
        <v/>
      </c>
      <c r="B199" s="210" t="str">
        <f>_xlfn.XLOOKUP($A199,'(backend scoring)'!$V$2:$V$333,'(backend scoring)'!$A$2:$A$333,"")</f>
        <v/>
      </c>
      <c r="C199" s="210" t="str">
        <f>IFERROR(VLOOKUP($B199,'Institution Evaluation'!$A$55:$F$346,2,0),IFERROR(VLOOKUP($B199,'Privacy Analyst Evaluation'!$A$46:$F$120,2,0),""))&amp;""</f>
        <v/>
      </c>
      <c r="D199" s="210" t="str">
        <f>IFERROR(VLOOKUP($B199,'Institution Evaluation'!$A$55:$F$346,3,0),IFERROR(VLOOKUP($B199,'Privacy Analyst Evaluation'!$A$46:$F$120,3,0),""))&amp;""</f>
        <v/>
      </c>
      <c r="E199" s="210" t="str">
        <f>IFERROR(VLOOKUP($B199,'Institution Evaluation'!$A$55:$F$346,4,0),IFERROR(VLOOKUP($B199,'Privacy Analyst Evaluation'!$A$46:$F$120,4,0),""))&amp;""</f>
        <v/>
      </c>
      <c r="F199" s="210" t="str">
        <f>IFERROR(VLOOKUP($B199,'Institution Evaluation'!$A$55:$F$346,6,0),IFERROR(VLOOKUP($B199,'Privacy Analyst Evaluation'!$A$46:$F$120,6,0),""))&amp;""</f>
        <v/>
      </c>
      <c r="G199" s="211"/>
      <c r="H199" s="210" t="str">
        <f>IFERROR(IF($H198+1&gt;'(backend scoring)'!$Q$335,"",$H198+1),"")</f>
        <v/>
      </c>
      <c r="I199" s="210" t="str">
        <f>_xlfn.XLOOKUP($H199,'(backend scoring)'!$S$2:$S$333,'(backend scoring)'!$A$2:$A$333,"")</f>
        <v/>
      </c>
      <c r="J199" s="210" t="str">
        <f>IFERROR(VLOOKUP($I199,'Institution Evaluation'!$A$55:$F$346,2,0),IFERROR(VLOOKUP($I199,'Privacy Analyst Evaluation'!$A$46:$F$120,2,0),""))</f>
        <v/>
      </c>
      <c r="K199" s="210" t="str">
        <f>IFERROR(VLOOKUP($I199,'Institution Evaluation'!$A$55:$F$346,3,0),IFERROR(VLOOKUP($I199,'Privacy Analyst Evaluation'!$A$46:$F$120,3,0),""))&amp;""</f>
        <v/>
      </c>
      <c r="L199" s="210" t="str">
        <f>IFERROR(VLOOKUP($I199,'Institution Evaluation'!$A$55:$F$346,4,0),IFERROR(VLOOKUP($I199,'Privacy Analyst Evaluation'!$A$46:$F$120,4,0),""))&amp;""</f>
        <v/>
      </c>
      <c r="M199" s="210"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2">
      <c r="A200" s="210" t="str">
        <f>IFERROR(IF($A199+1&gt;'(backend scoring)'!$T$335,"",$A199+1),"")</f>
        <v/>
      </c>
      <c r="B200" s="210" t="str">
        <f>_xlfn.XLOOKUP($A200,'(backend scoring)'!$V$2:$V$333,'(backend scoring)'!$A$2:$A$333,"")</f>
        <v/>
      </c>
      <c r="C200" s="210" t="str">
        <f>IFERROR(VLOOKUP($B200,'Institution Evaluation'!$A$55:$F$346,2,0),IFERROR(VLOOKUP($B200,'Privacy Analyst Evaluation'!$A$46:$F$120,2,0),""))&amp;""</f>
        <v/>
      </c>
      <c r="D200" s="210" t="str">
        <f>IFERROR(VLOOKUP($B200,'Institution Evaluation'!$A$55:$F$346,3,0),IFERROR(VLOOKUP($B200,'Privacy Analyst Evaluation'!$A$46:$F$120,3,0),""))&amp;""</f>
        <v/>
      </c>
      <c r="E200" s="210" t="str">
        <f>IFERROR(VLOOKUP($B200,'Institution Evaluation'!$A$55:$F$346,4,0),IFERROR(VLOOKUP($B200,'Privacy Analyst Evaluation'!$A$46:$F$120,4,0),""))&amp;""</f>
        <v/>
      </c>
      <c r="F200" s="210" t="str">
        <f>IFERROR(VLOOKUP($B200,'Institution Evaluation'!$A$55:$F$346,6,0),IFERROR(VLOOKUP($B200,'Privacy Analyst Evaluation'!$A$46:$F$120,6,0),""))&amp;""</f>
        <v/>
      </c>
      <c r="G200" s="211"/>
      <c r="H200" s="210" t="str">
        <f>IFERROR(IF($H199+1&gt;'(backend scoring)'!$Q$335,"",$H199+1),"")</f>
        <v/>
      </c>
      <c r="I200" s="210" t="str">
        <f>_xlfn.XLOOKUP($H200,'(backend scoring)'!$S$2:$S$333,'(backend scoring)'!$A$2:$A$333,"")</f>
        <v/>
      </c>
      <c r="J200" s="210" t="str">
        <f>IFERROR(VLOOKUP($I200,'Institution Evaluation'!$A$55:$F$346,2,0),IFERROR(VLOOKUP($I200,'Privacy Analyst Evaluation'!$A$46:$F$120,2,0),""))</f>
        <v/>
      </c>
      <c r="K200" s="210" t="str">
        <f>IFERROR(VLOOKUP($I200,'Institution Evaluation'!$A$55:$F$346,3,0),IFERROR(VLOOKUP($I200,'Privacy Analyst Evaluation'!$A$46:$F$120,3,0),""))&amp;""</f>
        <v/>
      </c>
      <c r="L200" s="210" t="str">
        <f>IFERROR(VLOOKUP($I200,'Institution Evaluation'!$A$55:$F$346,4,0),IFERROR(VLOOKUP($I200,'Privacy Analyst Evaluation'!$A$46:$F$120,4,0),""))&amp;""</f>
        <v/>
      </c>
      <c r="M200" s="210"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2">
      <c r="A201" s="210" t="str">
        <f>IFERROR(IF($A200+1&gt;'(backend scoring)'!$T$335,"",$A200+1),"")</f>
        <v/>
      </c>
      <c r="B201" s="210" t="str">
        <f>_xlfn.XLOOKUP($A201,'(backend scoring)'!$V$2:$V$333,'(backend scoring)'!$A$2:$A$333,"")</f>
        <v/>
      </c>
      <c r="C201" s="210" t="str">
        <f>IFERROR(VLOOKUP($B201,'Institution Evaluation'!$A$55:$F$346,2,0),IFERROR(VLOOKUP($B201,'Privacy Analyst Evaluation'!$A$46:$F$120,2,0),""))&amp;""</f>
        <v/>
      </c>
      <c r="D201" s="210" t="str">
        <f>IFERROR(VLOOKUP($B201,'Institution Evaluation'!$A$55:$F$346,3,0),IFERROR(VLOOKUP($B201,'Privacy Analyst Evaluation'!$A$46:$F$120,3,0),""))&amp;""</f>
        <v/>
      </c>
      <c r="E201" s="210" t="str">
        <f>IFERROR(VLOOKUP($B201,'Institution Evaluation'!$A$55:$F$346,4,0),IFERROR(VLOOKUP($B201,'Privacy Analyst Evaluation'!$A$46:$F$120,4,0),""))&amp;""</f>
        <v/>
      </c>
      <c r="F201" s="210" t="str">
        <f>IFERROR(VLOOKUP($B201,'Institution Evaluation'!$A$55:$F$346,6,0),IFERROR(VLOOKUP($B201,'Privacy Analyst Evaluation'!$A$46:$F$120,6,0),""))&amp;""</f>
        <v/>
      </c>
      <c r="G201" s="211"/>
      <c r="H201" s="210" t="str">
        <f>IFERROR(IF($H200+1&gt;'(backend scoring)'!$Q$335,"",$H200+1),"")</f>
        <v/>
      </c>
      <c r="I201" s="210" t="str">
        <f>_xlfn.XLOOKUP($H201,'(backend scoring)'!$S$2:$S$333,'(backend scoring)'!$A$2:$A$333,"")</f>
        <v/>
      </c>
      <c r="J201" s="210" t="str">
        <f>IFERROR(VLOOKUP($I201,'Institution Evaluation'!$A$55:$F$346,2,0),IFERROR(VLOOKUP($I201,'Privacy Analyst Evaluation'!$A$46:$F$120,2,0),""))</f>
        <v/>
      </c>
      <c r="K201" s="210" t="str">
        <f>IFERROR(VLOOKUP($I201,'Institution Evaluation'!$A$55:$F$346,3,0),IFERROR(VLOOKUP($I201,'Privacy Analyst Evaluation'!$A$46:$F$120,3,0),""))&amp;""</f>
        <v/>
      </c>
      <c r="L201" s="210" t="str">
        <f>IFERROR(VLOOKUP($I201,'Institution Evaluation'!$A$55:$F$346,4,0),IFERROR(VLOOKUP($I201,'Privacy Analyst Evaluation'!$A$46:$F$120,4,0),""))&amp;""</f>
        <v/>
      </c>
      <c r="M201" s="210"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2">
      <c r="A202" s="210" t="str">
        <f>IFERROR(IF($A201+1&gt;'(backend scoring)'!$T$335,"",$A201+1),"")</f>
        <v/>
      </c>
      <c r="B202" s="210" t="str">
        <f>_xlfn.XLOOKUP($A202,'(backend scoring)'!$V$2:$V$333,'(backend scoring)'!$A$2:$A$333,"")</f>
        <v/>
      </c>
      <c r="C202" s="210" t="str">
        <f>IFERROR(VLOOKUP($B202,'Institution Evaluation'!$A$55:$F$346,2,0),IFERROR(VLOOKUP($B202,'Privacy Analyst Evaluation'!$A$46:$F$120,2,0),""))&amp;""</f>
        <v/>
      </c>
      <c r="D202" s="210" t="str">
        <f>IFERROR(VLOOKUP($B202,'Institution Evaluation'!$A$55:$F$346,3,0),IFERROR(VLOOKUP($B202,'Privacy Analyst Evaluation'!$A$46:$F$120,3,0),""))&amp;""</f>
        <v/>
      </c>
      <c r="E202" s="210" t="str">
        <f>IFERROR(VLOOKUP($B202,'Institution Evaluation'!$A$55:$F$346,4,0),IFERROR(VLOOKUP($B202,'Privacy Analyst Evaluation'!$A$46:$F$120,4,0),""))&amp;""</f>
        <v/>
      </c>
      <c r="F202" s="210" t="str">
        <f>IFERROR(VLOOKUP($B202,'Institution Evaluation'!$A$55:$F$346,6,0),IFERROR(VLOOKUP($B202,'Privacy Analyst Evaluation'!$A$46:$F$120,6,0),""))&amp;""</f>
        <v/>
      </c>
      <c r="G202" s="211"/>
      <c r="H202" s="210" t="str">
        <f>IFERROR(IF($H201+1&gt;'(backend scoring)'!$Q$335,"",$H201+1),"")</f>
        <v/>
      </c>
      <c r="I202" s="210" t="str">
        <f>_xlfn.XLOOKUP($H202,'(backend scoring)'!$S$2:$S$333,'(backend scoring)'!$A$2:$A$333,"")</f>
        <v/>
      </c>
      <c r="J202" s="210" t="str">
        <f>IFERROR(VLOOKUP($I202,'Institution Evaluation'!$A$55:$F$346,2,0),IFERROR(VLOOKUP($I202,'Privacy Analyst Evaluation'!$A$46:$F$120,2,0),""))</f>
        <v/>
      </c>
      <c r="K202" s="210" t="str">
        <f>IFERROR(VLOOKUP($I202,'Institution Evaluation'!$A$55:$F$346,3,0),IFERROR(VLOOKUP($I202,'Privacy Analyst Evaluation'!$A$46:$F$120,3,0),""))&amp;""</f>
        <v/>
      </c>
      <c r="L202" s="210" t="str">
        <f>IFERROR(VLOOKUP($I202,'Institution Evaluation'!$A$55:$F$346,4,0),IFERROR(VLOOKUP($I202,'Privacy Analyst Evaluation'!$A$46:$F$120,4,0),""))&amp;""</f>
        <v/>
      </c>
      <c r="M202" s="210"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2">
      <c r="A203" s="210" t="str">
        <f>IFERROR(IF($A202+1&gt;'(backend scoring)'!$T$335,"",$A202+1),"")</f>
        <v/>
      </c>
      <c r="B203" s="210" t="str">
        <f>_xlfn.XLOOKUP($A203,'(backend scoring)'!$V$2:$V$333,'(backend scoring)'!$A$2:$A$333,"")</f>
        <v/>
      </c>
      <c r="C203" s="210" t="str">
        <f>IFERROR(VLOOKUP($B203,'Institution Evaluation'!$A$55:$F$346,2,0),IFERROR(VLOOKUP($B203,'Privacy Analyst Evaluation'!$A$46:$F$120,2,0),""))&amp;""</f>
        <v/>
      </c>
      <c r="D203" s="210" t="str">
        <f>IFERROR(VLOOKUP($B203,'Institution Evaluation'!$A$55:$F$346,3,0),IFERROR(VLOOKUP($B203,'Privacy Analyst Evaluation'!$A$46:$F$120,3,0),""))&amp;""</f>
        <v/>
      </c>
      <c r="E203" s="210" t="str">
        <f>IFERROR(VLOOKUP($B203,'Institution Evaluation'!$A$55:$F$346,4,0),IFERROR(VLOOKUP($B203,'Privacy Analyst Evaluation'!$A$46:$F$120,4,0),""))&amp;""</f>
        <v/>
      </c>
      <c r="F203" s="210" t="str">
        <f>IFERROR(VLOOKUP($B203,'Institution Evaluation'!$A$55:$F$346,6,0),IFERROR(VLOOKUP($B203,'Privacy Analyst Evaluation'!$A$46:$F$120,6,0),""))&amp;""</f>
        <v/>
      </c>
      <c r="G203" s="211"/>
      <c r="H203" s="210" t="str">
        <f>IFERROR(IF($H202+1&gt;'(backend scoring)'!$Q$335,"",$H202+1),"")</f>
        <v/>
      </c>
      <c r="I203" s="210" t="str">
        <f>_xlfn.XLOOKUP($H203,'(backend scoring)'!$S$2:$S$333,'(backend scoring)'!$A$2:$A$333,"")</f>
        <v/>
      </c>
      <c r="J203" s="210" t="str">
        <f>IFERROR(VLOOKUP($I203,'Institution Evaluation'!$A$55:$F$346,2,0),IFERROR(VLOOKUP($I203,'Privacy Analyst Evaluation'!$A$46:$F$120,2,0),""))</f>
        <v/>
      </c>
      <c r="K203" s="210" t="str">
        <f>IFERROR(VLOOKUP($I203,'Institution Evaluation'!$A$55:$F$346,3,0),IFERROR(VLOOKUP($I203,'Privacy Analyst Evaluation'!$A$46:$F$120,3,0),""))&amp;""</f>
        <v/>
      </c>
      <c r="L203" s="210" t="str">
        <f>IFERROR(VLOOKUP($I203,'Institution Evaluation'!$A$55:$F$346,4,0),IFERROR(VLOOKUP($I203,'Privacy Analyst Evaluation'!$A$46:$F$120,4,0),""))&amp;""</f>
        <v/>
      </c>
      <c r="M203" s="210"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2">
      <c r="A204" s="210" t="str">
        <f>IFERROR(IF($A203+1&gt;'(backend scoring)'!$T$335,"",$A203+1),"")</f>
        <v/>
      </c>
      <c r="B204" s="210" t="str">
        <f>_xlfn.XLOOKUP($A204,'(backend scoring)'!$V$2:$V$333,'(backend scoring)'!$A$2:$A$333,"")</f>
        <v/>
      </c>
      <c r="C204" s="210" t="str">
        <f>IFERROR(VLOOKUP($B204,'Institution Evaluation'!$A$55:$F$346,2,0),IFERROR(VLOOKUP($B204,'Privacy Analyst Evaluation'!$A$46:$F$120,2,0),""))&amp;""</f>
        <v/>
      </c>
      <c r="D204" s="210" t="str">
        <f>IFERROR(VLOOKUP($B204,'Institution Evaluation'!$A$55:$F$346,3,0),IFERROR(VLOOKUP($B204,'Privacy Analyst Evaluation'!$A$46:$F$120,3,0),""))&amp;""</f>
        <v/>
      </c>
      <c r="E204" s="210" t="str">
        <f>IFERROR(VLOOKUP($B204,'Institution Evaluation'!$A$55:$F$346,4,0),IFERROR(VLOOKUP($B204,'Privacy Analyst Evaluation'!$A$46:$F$120,4,0),""))&amp;""</f>
        <v/>
      </c>
      <c r="F204" s="210" t="str">
        <f>IFERROR(VLOOKUP($B204,'Institution Evaluation'!$A$55:$F$346,6,0),IFERROR(VLOOKUP($B204,'Privacy Analyst Evaluation'!$A$46:$F$120,6,0),""))&amp;""</f>
        <v/>
      </c>
      <c r="G204" s="211"/>
      <c r="H204" s="210" t="str">
        <f>IFERROR(IF($H203+1&gt;'(backend scoring)'!$Q$335,"",$H203+1),"")</f>
        <v/>
      </c>
      <c r="I204" s="210" t="str">
        <f>_xlfn.XLOOKUP($H204,'(backend scoring)'!$S$2:$S$333,'(backend scoring)'!$A$2:$A$333,"")</f>
        <v/>
      </c>
      <c r="J204" s="210" t="str">
        <f>IFERROR(VLOOKUP($I204,'Institution Evaluation'!$A$55:$F$346,2,0),IFERROR(VLOOKUP($I204,'Privacy Analyst Evaluation'!$A$46:$F$120,2,0),""))</f>
        <v/>
      </c>
      <c r="K204" s="210" t="str">
        <f>IFERROR(VLOOKUP($I204,'Institution Evaluation'!$A$55:$F$346,3,0),IFERROR(VLOOKUP($I204,'Privacy Analyst Evaluation'!$A$46:$F$120,3,0),""))&amp;""</f>
        <v/>
      </c>
      <c r="L204" s="210" t="str">
        <f>IFERROR(VLOOKUP($I204,'Institution Evaluation'!$A$55:$F$346,4,0),IFERROR(VLOOKUP($I204,'Privacy Analyst Evaluation'!$A$46:$F$120,4,0),""))&amp;""</f>
        <v/>
      </c>
      <c r="M204" s="210"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2">
      <c r="A205" s="210" t="str">
        <f>IFERROR(IF($A204+1&gt;'(backend scoring)'!$T$335,"",$A204+1),"")</f>
        <v/>
      </c>
      <c r="B205" s="210" t="str">
        <f>_xlfn.XLOOKUP($A205,'(backend scoring)'!$V$2:$V$333,'(backend scoring)'!$A$2:$A$333,"")</f>
        <v/>
      </c>
      <c r="C205" s="210" t="str">
        <f>IFERROR(VLOOKUP($B205,'Institution Evaluation'!$A$55:$F$346,2,0),IFERROR(VLOOKUP($B205,'Privacy Analyst Evaluation'!$A$46:$F$120,2,0),""))&amp;""</f>
        <v/>
      </c>
      <c r="D205" s="210" t="str">
        <f>IFERROR(VLOOKUP($B205,'Institution Evaluation'!$A$55:$F$346,3,0),IFERROR(VLOOKUP($B205,'Privacy Analyst Evaluation'!$A$46:$F$120,3,0),""))&amp;""</f>
        <v/>
      </c>
      <c r="E205" s="210" t="str">
        <f>IFERROR(VLOOKUP($B205,'Institution Evaluation'!$A$55:$F$346,4,0),IFERROR(VLOOKUP($B205,'Privacy Analyst Evaluation'!$A$46:$F$120,4,0),""))&amp;""</f>
        <v/>
      </c>
      <c r="F205" s="210" t="str">
        <f>IFERROR(VLOOKUP($B205,'Institution Evaluation'!$A$55:$F$346,6,0),IFERROR(VLOOKUP($B205,'Privacy Analyst Evaluation'!$A$46:$F$120,6,0),""))&amp;""</f>
        <v/>
      </c>
      <c r="G205" s="211"/>
      <c r="H205" s="210" t="str">
        <f>IFERROR(IF($H204+1&gt;'(backend scoring)'!$Q$335,"",$H204+1),"")</f>
        <v/>
      </c>
      <c r="I205" s="210" t="str">
        <f>_xlfn.XLOOKUP($H205,'(backend scoring)'!$S$2:$S$333,'(backend scoring)'!$A$2:$A$333,"")</f>
        <v/>
      </c>
      <c r="J205" s="210" t="str">
        <f>IFERROR(VLOOKUP($I205,'Institution Evaluation'!$A$55:$F$346,2,0),IFERROR(VLOOKUP($I205,'Privacy Analyst Evaluation'!$A$46:$F$120,2,0),""))</f>
        <v/>
      </c>
      <c r="K205" s="210" t="str">
        <f>IFERROR(VLOOKUP($I205,'Institution Evaluation'!$A$55:$F$346,3,0),IFERROR(VLOOKUP($I205,'Privacy Analyst Evaluation'!$A$46:$F$120,3,0),""))&amp;""</f>
        <v/>
      </c>
      <c r="L205" s="210" t="str">
        <f>IFERROR(VLOOKUP($I205,'Institution Evaluation'!$A$55:$F$346,4,0),IFERROR(VLOOKUP($I205,'Privacy Analyst Evaluation'!$A$46:$F$120,4,0),""))&amp;""</f>
        <v/>
      </c>
      <c r="M205" s="210"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2">
      <c r="A206" s="210" t="str">
        <f>IFERROR(IF($A205+1&gt;'(backend scoring)'!$T$335,"",$A205+1),"")</f>
        <v/>
      </c>
      <c r="B206" s="210" t="str">
        <f>_xlfn.XLOOKUP($A206,'(backend scoring)'!$V$2:$V$333,'(backend scoring)'!$A$2:$A$333,"")</f>
        <v/>
      </c>
      <c r="C206" s="210" t="str">
        <f>IFERROR(VLOOKUP($B206,'Institution Evaluation'!$A$55:$F$346,2,0),IFERROR(VLOOKUP($B206,'Privacy Analyst Evaluation'!$A$46:$F$120,2,0),""))&amp;""</f>
        <v/>
      </c>
      <c r="D206" s="210" t="str">
        <f>IFERROR(VLOOKUP($B206,'Institution Evaluation'!$A$55:$F$346,3,0),IFERROR(VLOOKUP($B206,'Privacy Analyst Evaluation'!$A$46:$F$120,3,0),""))&amp;""</f>
        <v/>
      </c>
      <c r="E206" s="210" t="str">
        <f>IFERROR(VLOOKUP($B206,'Institution Evaluation'!$A$55:$F$346,4,0),IFERROR(VLOOKUP($B206,'Privacy Analyst Evaluation'!$A$46:$F$120,4,0),""))&amp;""</f>
        <v/>
      </c>
      <c r="F206" s="210" t="str">
        <f>IFERROR(VLOOKUP($B206,'Institution Evaluation'!$A$55:$F$346,6,0),IFERROR(VLOOKUP($B206,'Privacy Analyst Evaluation'!$A$46:$F$120,6,0),""))&amp;""</f>
        <v/>
      </c>
      <c r="G206" s="211"/>
      <c r="H206" s="210" t="str">
        <f>IFERROR(IF($H205+1&gt;'(backend scoring)'!$Q$335,"",$H205+1),"")</f>
        <v/>
      </c>
      <c r="I206" s="210" t="str">
        <f>_xlfn.XLOOKUP($H206,'(backend scoring)'!$S$2:$S$333,'(backend scoring)'!$A$2:$A$333,"")</f>
        <v/>
      </c>
      <c r="J206" s="210" t="str">
        <f>IFERROR(VLOOKUP($I206,'Institution Evaluation'!$A$55:$F$346,2,0),IFERROR(VLOOKUP($I206,'Privacy Analyst Evaluation'!$A$46:$F$120,2,0),""))</f>
        <v/>
      </c>
      <c r="K206" s="210" t="str">
        <f>IFERROR(VLOOKUP($I206,'Institution Evaluation'!$A$55:$F$346,3,0),IFERROR(VLOOKUP($I206,'Privacy Analyst Evaluation'!$A$46:$F$120,3,0),""))&amp;""</f>
        <v/>
      </c>
      <c r="L206" s="210" t="str">
        <f>IFERROR(VLOOKUP($I206,'Institution Evaluation'!$A$55:$F$346,4,0),IFERROR(VLOOKUP($I206,'Privacy Analyst Evaluation'!$A$46:$F$120,4,0),""))&amp;""</f>
        <v/>
      </c>
      <c r="M206" s="210"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2">
      <c r="A207" s="210" t="str">
        <f>IFERROR(IF($A206+1&gt;'(backend scoring)'!$T$335,"",$A206+1),"")</f>
        <v/>
      </c>
      <c r="B207" s="210" t="str">
        <f>_xlfn.XLOOKUP($A207,'(backend scoring)'!$V$2:$V$333,'(backend scoring)'!$A$2:$A$333,"")</f>
        <v/>
      </c>
      <c r="C207" s="210" t="str">
        <f>IFERROR(VLOOKUP($B207,'Institution Evaluation'!$A$55:$F$346,2,0),IFERROR(VLOOKUP($B207,'Privacy Analyst Evaluation'!$A$46:$F$120,2,0),""))&amp;""</f>
        <v/>
      </c>
      <c r="D207" s="210" t="str">
        <f>IFERROR(VLOOKUP($B207,'Institution Evaluation'!$A$55:$F$346,3,0),IFERROR(VLOOKUP($B207,'Privacy Analyst Evaluation'!$A$46:$F$120,3,0),""))&amp;""</f>
        <v/>
      </c>
      <c r="E207" s="210" t="str">
        <f>IFERROR(VLOOKUP($B207,'Institution Evaluation'!$A$55:$F$346,4,0),IFERROR(VLOOKUP($B207,'Privacy Analyst Evaluation'!$A$46:$F$120,4,0),""))&amp;""</f>
        <v/>
      </c>
      <c r="F207" s="210" t="str">
        <f>IFERROR(VLOOKUP($B207,'Institution Evaluation'!$A$55:$F$346,6,0),IFERROR(VLOOKUP($B207,'Privacy Analyst Evaluation'!$A$46:$F$120,6,0),""))&amp;""</f>
        <v/>
      </c>
      <c r="G207" s="211"/>
      <c r="H207" s="210" t="str">
        <f>IFERROR(IF($H206+1&gt;'(backend scoring)'!$Q$335,"",$H206+1),"")</f>
        <v/>
      </c>
      <c r="I207" s="210" t="str">
        <f>_xlfn.XLOOKUP($H207,'(backend scoring)'!$S$2:$S$333,'(backend scoring)'!$A$2:$A$333,"")</f>
        <v/>
      </c>
      <c r="J207" s="210" t="str">
        <f>IFERROR(VLOOKUP($I207,'Institution Evaluation'!$A$55:$F$346,2,0),IFERROR(VLOOKUP($I207,'Privacy Analyst Evaluation'!$A$46:$F$120,2,0),""))</f>
        <v/>
      </c>
      <c r="K207" s="210" t="str">
        <f>IFERROR(VLOOKUP($I207,'Institution Evaluation'!$A$55:$F$346,3,0),IFERROR(VLOOKUP($I207,'Privacy Analyst Evaluation'!$A$46:$F$120,3,0),""))&amp;""</f>
        <v/>
      </c>
      <c r="L207" s="210" t="str">
        <f>IFERROR(VLOOKUP($I207,'Institution Evaluation'!$A$55:$F$346,4,0),IFERROR(VLOOKUP($I207,'Privacy Analyst Evaluation'!$A$46:$F$120,4,0),""))&amp;""</f>
        <v/>
      </c>
      <c r="M207" s="210"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2">
      <c r="A208" s="210" t="str">
        <f>IFERROR(IF($A207+1&gt;'(backend scoring)'!$T$335,"",$A207+1),"")</f>
        <v/>
      </c>
      <c r="B208" s="210" t="str">
        <f>_xlfn.XLOOKUP($A208,'(backend scoring)'!$V$2:$V$333,'(backend scoring)'!$A$2:$A$333,"")</f>
        <v/>
      </c>
      <c r="C208" s="210" t="str">
        <f>IFERROR(VLOOKUP($B208,'Institution Evaluation'!$A$55:$F$346,2,0),IFERROR(VLOOKUP($B208,'Privacy Analyst Evaluation'!$A$46:$F$120,2,0),""))&amp;""</f>
        <v/>
      </c>
      <c r="D208" s="210" t="str">
        <f>IFERROR(VLOOKUP($B208,'Institution Evaluation'!$A$55:$F$346,3,0),IFERROR(VLOOKUP($B208,'Privacy Analyst Evaluation'!$A$46:$F$120,3,0),""))&amp;""</f>
        <v/>
      </c>
      <c r="E208" s="210" t="str">
        <f>IFERROR(VLOOKUP($B208,'Institution Evaluation'!$A$55:$F$346,4,0),IFERROR(VLOOKUP($B208,'Privacy Analyst Evaluation'!$A$46:$F$120,4,0),""))&amp;""</f>
        <v/>
      </c>
      <c r="F208" s="210" t="str">
        <f>IFERROR(VLOOKUP($B208,'Institution Evaluation'!$A$55:$F$346,6,0),IFERROR(VLOOKUP($B208,'Privacy Analyst Evaluation'!$A$46:$F$120,6,0),""))&amp;""</f>
        <v/>
      </c>
      <c r="G208" s="211"/>
      <c r="H208" s="210" t="str">
        <f>IFERROR(IF($H207+1&gt;'(backend scoring)'!$Q$335,"",$H207+1),"")</f>
        <v/>
      </c>
      <c r="I208" s="210" t="str">
        <f>_xlfn.XLOOKUP($H208,'(backend scoring)'!$S$2:$S$333,'(backend scoring)'!$A$2:$A$333,"")</f>
        <v/>
      </c>
      <c r="J208" s="210" t="str">
        <f>IFERROR(VLOOKUP($I208,'Institution Evaluation'!$A$55:$F$346,2,0),IFERROR(VLOOKUP($I208,'Privacy Analyst Evaluation'!$A$46:$F$120,2,0),""))</f>
        <v/>
      </c>
      <c r="K208" s="210" t="str">
        <f>IFERROR(VLOOKUP($I208,'Institution Evaluation'!$A$55:$F$346,3,0),IFERROR(VLOOKUP($I208,'Privacy Analyst Evaluation'!$A$46:$F$120,3,0),""))&amp;""</f>
        <v/>
      </c>
      <c r="L208" s="210" t="str">
        <f>IFERROR(VLOOKUP($I208,'Institution Evaluation'!$A$55:$F$346,4,0),IFERROR(VLOOKUP($I208,'Privacy Analyst Evaluation'!$A$46:$F$120,4,0),""))&amp;""</f>
        <v/>
      </c>
      <c r="M208" s="210"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2">
      <c r="A209" s="210" t="str">
        <f>IFERROR(IF($A208+1&gt;'(backend scoring)'!$T$335,"",$A208+1),"")</f>
        <v/>
      </c>
      <c r="B209" s="210" t="str">
        <f>_xlfn.XLOOKUP($A209,'(backend scoring)'!$V$2:$V$333,'(backend scoring)'!$A$2:$A$333,"")</f>
        <v/>
      </c>
      <c r="C209" s="210" t="str">
        <f>IFERROR(VLOOKUP($B209,'Institution Evaluation'!$A$55:$F$346,2,0),IFERROR(VLOOKUP($B209,'Privacy Analyst Evaluation'!$A$46:$F$120,2,0),""))&amp;""</f>
        <v/>
      </c>
      <c r="D209" s="210" t="str">
        <f>IFERROR(VLOOKUP($B209,'Institution Evaluation'!$A$55:$F$346,3,0),IFERROR(VLOOKUP($B209,'Privacy Analyst Evaluation'!$A$46:$F$120,3,0),""))&amp;""</f>
        <v/>
      </c>
      <c r="E209" s="210" t="str">
        <f>IFERROR(VLOOKUP($B209,'Institution Evaluation'!$A$55:$F$346,4,0),IFERROR(VLOOKUP($B209,'Privacy Analyst Evaluation'!$A$46:$F$120,4,0),""))&amp;""</f>
        <v/>
      </c>
      <c r="F209" s="210" t="str">
        <f>IFERROR(VLOOKUP($B209,'Institution Evaluation'!$A$55:$F$346,6,0),IFERROR(VLOOKUP($B209,'Privacy Analyst Evaluation'!$A$46:$F$120,6,0),""))&amp;""</f>
        <v/>
      </c>
      <c r="G209" s="211"/>
      <c r="H209" s="210" t="str">
        <f>IFERROR(IF($H208+1&gt;'(backend scoring)'!$Q$335,"",$H208+1),"")</f>
        <v/>
      </c>
      <c r="I209" s="210" t="str">
        <f>_xlfn.XLOOKUP($H209,'(backend scoring)'!$S$2:$S$333,'(backend scoring)'!$A$2:$A$333,"")</f>
        <v/>
      </c>
      <c r="J209" s="210" t="str">
        <f>IFERROR(VLOOKUP($I209,'Institution Evaluation'!$A$55:$F$346,2,0),IFERROR(VLOOKUP($I209,'Privacy Analyst Evaluation'!$A$46:$F$120,2,0),""))</f>
        <v/>
      </c>
      <c r="K209" s="210" t="str">
        <f>IFERROR(VLOOKUP($I209,'Institution Evaluation'!$A$55:$F$346,3,0),IFERROR(VLOOKUP($I209,'Privacy Analyst Evaluation'!$A$46:$F$120,3,0),""))&amp;""</f>
        <v/>
      </c>
      <c r="L209" s="210" t="str">
        <f>IFERROR(VLOOKUP($I209,'Institution Evaluation'!$A$55:$F$346,4,0),IFERROR(VLOOKUP($I209,'Privacy Analyst Evaluation'!$A$46:$F$120,4,0),""))&amp;""</f>
        <v/>
      </c>
      <c r="M209" s="210"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2">
      <c r="A210" s="210" t="str">
        <f>IFERROR(IF($A209+1&gt;'(backend scoring)'!$T$335,"",$A209+1),"")</f>
        <v/>
      </c>
      <c r="B210" s="210" t="str">
        <f>_xlfn.XLOOKUP($A210,'(backend scoring)'!$V$2:$V$333,'(backend scoring)'!$A$2:$A$333,"")</f>
        <v/>
      </c>
      <c r="C210" s="210" t="str">
        <f>IFERROR(VLOOKUP($B210,'Institution Evaluation'!$A$55:$F$346,2,0),IFERROR(VLOOKUP($B210,'Privacy Analyst Evaluation'!$A$46:$F$120,2,0),""))&amp;""</f>
        <v/>
      </c>
      <c r="D210" s="210" t="str">
        <f>IFERROR(VLOOKUP($B210,'Institution Evaluation'!$A$55:$F$346,3,0),IFERROR(VLOOKUP($B210,'Privacy Analyst Evaluation'!$A$46:$F$120,3,0),""))&amp;""</f>
        <v/>
      </c>
      <c r="E210" s="210" t="str">
        <f>IFERROR(VLOOKUP($B210,'Institution Evaluation'!$A$55:$F$346,4,0),IFERROR(VLOOKUP($B210,'Privacy Analyst Evaluation'!$A$46:$F$120,4,0),""))&amp;""</f>
        <v/>
      </c>
      <c r="F210" s="210" t="str">
        <f>IFERROR(VLOOKUP($B210,'Institution Evaluation'!$A$55:$F$346,6,0),IFERROR(VLOOKUP($B210,'Privacy Analyst Evaluation'!$A$46:$F$120,6,0),""))&amp;""</f>
        <v/>
      </c>
      <c r="G210" s="211"/>
      <c r="H210" s="210" t="str">
        <f>IFERROR(IF($H209+1&gt;'(backend scoring)'!$Q$335,"",$H209+1),"")</f>
        <v/>
      </c>
      <c r="I210" s="210" t="str">
        <f>_xlfn.XLOOKUP($H210,'(backend scoring)'!$S$2:$S$333,'(backend scoring)'!$A$2:$A$333,"")</f>
        <v/>
      </c>
      <c r="J210" s="210" t="str">
        <f>IFERROR(VLOOKUP($I210,'Institution Evaluation'!$A$55:$F$346,2,0),IFERROR(VLOOKUP($I210,'Privacy Analyst Evaluation'!$A$46:$F$120,2,0),""))</f>
        <v/>
      </c>
      <c r="K210" s="210" t="str">
        <f>IFERROR(VLOOKUP($I210,'Institution Evaluation'!$A$55:$F$346,3,0),IFERROR(VLOOKUP($I210,'Privacy Analyst Evaluation'!$A$46:$F$120,3,0),""))&amp;""</f>
        <v/>
      </c>
      <c r="L210" s="210" t="str">
        <f>IFERROR(VLOOKUP($I210,'Institution Evaluation'!$A$55:$F$346,4,0),IFERROR(VLOOKUP($I210,'Privacy Analyst Evaluation'!$A$46:$F$120,4,0),""))&amp;""</f>
        <v/>
      </c>
      <c r="M210" s="210"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2">
      <c r="A211" s="210" t="str">
        <f>IFERROR(IF($A210+1&gt;'(backend scoring)'!$T$335,"",$A210+1),"")</f>
        <v/>
      </c>
      <c r="B211" s="210" t="str">
        <f>_xlfn.XLOOKUP($A211,'(backend scoring)'!$V$2:$V$333,'(backend scoring)'!$A$2:$A$333,"")</f>
        <v/>
      </c>
      <c r="C211" s="210" t="str">
        <f>IFERROR(VLOOKUP($B211,'Institution Evaluation'!$A$55:$F$346,2,0),IFERROR(VLOOKUP($B211,'Privacy Analyst Evaluation'!$A$46:$F$120,2,0),""))&amp;""</f>
        <v/>
      </c>
      <c r="D211" s="210" t="str">
        <f>IFERROR(VLOOKUP($B211,'Institution Evaluation'!$A$55:$F$346,3,0),IFERROR(VLOOKUP($B211,'Privacy Analyst Evaluation'!$A$46:$F$120,3,0),""))&amp;""</f>
        <v/>
      </c>
      <c r="E211" s="210" t="str">
        <f>IFERROR(VLOOKUP($B211,'Institution Evaluation'!$A$55:$F$346,4,0),IFERROR(VLOOKUP($B211,'Privacy Analyst Evaluation'!$A$46:$F$120,4,0),""))&amp;""</f>
        <v/>
      </c>
      <c r="F211" s="210" t="str">
        <f>IFERROR(VLOOKUP($B211,'Institution Evaluation'!$A$55:$F$346,6,0),IFERROR(VLOOKUP($B211,'Privacy Analyst Evaluation'!$A$46:$F$120,6,0),""))&amp;""</f>
        <v/>
      </c>
      <c r="G211" s="211"/>
      <c r="H211" s="210" t="str">
        <f>IFERROR(IF($H210+1&gt;'(backend scoring)'!$Q$335,"",$H210+1),"")</f>
        <v/>
      </c>
      <c r="I211" s="210" t="str">
        <f>_xlfn.XLOOKUP($H211,'(backend scoring)'!$S$2:$S$333,'(backend scoring)'!$A$2:$A$333,"")</f>
        <v/>
      </c>
      <c r="J211" s="210" t="str">
        <f>IFERROR(VLOOKUP($I211,'Institution Evaluation'!$A$55:$F$346,2,0),IFERROR(VLOOKUP($I211,'Privacy Analyst Evaluation'!$A$46:$F$120,2,0),""))</f>
        <v/>
      </c>
      <c r="K211" s="210" t="str">
        <f>IFERROR(VLOOKUP($I211,'Institution Evaluation'!$A$55:$F$346,3,0),IFERROR(VLOOKUP($I211,'Privacy Analyst Evaluation'!$A$46:$F$120,3,0),""))&amp;""</f>
        <v/>
      </c>
      <c r="L211" s="210" t="str">
        <f>IFERROR(VLOOKUP($I211,'Institution Evaluation'!$A$55:$F$346,4,0),IFERROR(VLOOKUP($I211,'Privacy Analyst Evaluation'!$A$46:$F$120,4,0),""))&amp;""</f>
        <v/>
      </c>
      <c r="M211" s="210"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2">
      <c r="A212" s="210" t="str">
        <f>IFERROR(IF($A211+1&gt;'(backend scoring)'!$T$335,"",$A211+1),"")</f>
        <v/>
      </c>
      <c r="B212" s="210" t="str">
        <f>_xlfn.XLOOKUP($A212,'(backend scoring)'!$V$2:$V$333,'(backend scoring)'!$A$2:$A$333,"")</f>
        <v/>
      </c>
      <c r="C212" s="210" t="str">
        <f>IFERROR(VLOOKUP($B212,'Institution Evaluation'!$A$55:$F$346,2,0),IFERROR(VLOOKUP($B212,'Privacy Analyst Evaluation'!$A$46:$F$120,2,0),""))&amp;""</f>
        <v/>
      </c>
      <c r="D212" s="210" t="str">
        <f>IFERROR(VLOOKUP($B212,'Institution Evaluation'!$A$55:$F$346,3,0),IFERROR(VLOOKUP($B212,'Privacy Analyst Evaluation'!$A$46:$F$120,3,0),""))&amp;""</f>
        <v/>
      </c>
      <c r="E212" s="210" t="str">
        <f>IFERROR(VLOOKUP($B212,'Institution Evaluation'!$A$55:$F$346,4,0),IFERROR(VLOOKUP($B212,'Privacy Analyst Evaluation'!$A$46:$F$120,4,0),""))&amp;""</f>
        <v/>
      </c>
      <c r="F212" s="210" t="str">
        <f>IFERROR(VLOOKUP($B212,'Institution Evaluation'!$A$55:$F$346,6,0),IFERROR(VLOOKUP($B212,'Privacy Analyst Evaluation'!$A$46:$F$120,6,0),""))&amp;""</f>
        <v/>
      </c>
      <c r="G212" s="211"/>
      <c r="H212" s="210" t="str">
        <f>IFERROR(IF($H211+1&gt;'(backend scoring)'!$Q$335,"",$H211+1),"")</f>
        <v/>
      </c>
      <c r="I212" s="210" t="str">
        <f>_xlfn.XLOOKUP($H212,'(backend scoring)'!$S$2:$S$333,'(backend scoring)'!$A$2:$A$333,"")</f>
        <v/>
      </c>
      <c r="J212" s="210" t="str">
        <f>IFERROR(VLOOKUP($I212,'Institution Evaluation'!$A$55:$F$346,2,0),IFERROR(VLOOKUP($I212,'Privacy Analyst Evaluation'!$A$46:$F$120,2,0),""))</f>
        <v/>
      </c>
      <c r="K212" s="210" t="str">
        <f>IFERROR(VLOOKUP($I212,'Institution Evaluation'!$A$55:$F$346,3,0),IFERROR(VLOOKUP($I212,'Privacy Analyst Evaluation'!$A$46:$F$120,3,0),""))&amp;""</f>
        <v/>
      </c>
      <c r="L212" s="210" t="str">
        <f>IFERROR(VLOOKUP($I212,'Institution Evaluation'!$A$55:$F$346,4,0),IFERROR(VLOOKUP($I212,'Privacy Analyst Evaluation'!$A$46:$F$120,4,0),""))&amp;""</f>
        <v/>
      </c>
      <c r="M212" s="210"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2">
      <c r="A213" s="210" t="str">
        <f>IFERROR(IF($A212+1&gt;'(backend scoring)'!$T$335,"",$A212+1),"")</f>
        <v/>
      </c>
      <c r="B213" s="210" t="str">
        <f>_xlfn.XLOOKUP($A213,'(backend scoring)'!$V$2:$V$333,'(backend scoring)'!$A$2:$A$333,"")</f>
        <v/>
      </c>
      <c r="C213" s="210" t="str">
        <f>IFERROR(VLOOKUP($B213,'Institution Evaluation'!$A$55:$F$346,2,0),IFERROR(VLOOKUP($B213,'Privacy Analyst Evaluation'!$A$46:$F$120,2,0),""))&amp;""</f>
        <v/>
      </c>
      <c r="D213" s="210" t="str">
        <f>IFERROR(VLOOKUP($B213,'Institution Evaluation'!$A$55:$F$346,3,0),IFERROR(VLOOKUP($B213,'Privacy Analyst Evaluation'!$A$46:$F$120,3,0),""))&amp;""</f>
        <v/>
      </c>
      <c r="E213" s="210" t="str">
        <f>IFERROR(VLOOKUP($B213,'Institution Evaluation'!$A$55:$F$346,4,0),IFERROR(VLOOKUP($B213,'Privacy Analyst Evaluation'!$A$46:$F$120,4,0),""))&amp;""</f>
        <v/>
      </c>
      <c r="F213" s="210" t="str">
        <f>IFERROR(VLOOKUP($B213,'Institution Evaluation'!$A$55:$F$346,6,0),IFERROR(VLOOKUP($B213,'Privacy Analyst Evaluation'!$A$46:$F$120,6,0),""))&amp;""</f>
        <v/>
      </c>
      <c r="G213" s="211"/>
      <c r="H213" s="210" t="str">
        <f>IFERROR(IF($H212+1&gt;'(backend scoring)'!$Q$335,"",$H212+1),"")</f>
        <v/>
      </c>
      <c r="I213" s="210" t="str">
        <f>_xlfn.XLOOKUP($H213,'(backend scoring)'!$S$2:$S$333,'(backend scoring)'!$A$2:$A$333,"")</f>
        <v/>
      </c>
      <c r="J213" s="210" t="str">
        <f>IFERROR(VLOOKUP($I213,'Institution Evaluation'!$A$55:$F$346,2,0),IFERROR(VLOOKUP($I213,'Privacy Analyst Evaluation'!$A$46:$F$120,2,0),""))</f>
        <v/>
      </c>
      <c r="K213" s="210" t="str">
        <f>IFERROR(VLOOKUP($I213,'Institution Evaluation'!$A$55:$F$346,3,0),IFERROR(VLOOKUP($I213,'Privacy Analyst Evaluation'!$A$46:$F$120,3,0),""))&amp;""</f>
        <v/>
      </c>
      <c r="L213" s="210" t="str">
        <f>IFERROR(VLOOKUP($I213,'Institution Evaluation'!$A$55:$F$346,4,0),IFERROR(VLOOKUP($I213,'Privacy Analyst Evaluation'!$A$46:$F$120,4,0),""))&amp;""</f>
        <v/>
      </c>
      <c r="M213" s="210"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2">
      <c r="A214" s="210" t="str">
        <f>IFERROR(IF($A213+1&gt;'(backend scoring)'!$T$335,"",$A213+1),"")</f>
        <v/>
      </c>
      <c r="B214" s="210" t="str">
        <f>_xlfn.XLOOKUP($A214,'(backend scoring)'!$V$2:$V$333,'(backend scoring)'!$A$2:$A$333,"")</f>
        <v/>
      </c>
      <c r="C214" s="210" t="str">
        <f>IFERROR(VLOOKUP($B214,'Institution Evaluation'!$A$55:$F$346,2,0),IFERROR(VLOOKUP($B214,'Privacy Analyst Evaluation'!$A$46:$F$120,2,0),""))&amp;""</f>
        <v/>
      </c>
      <c r="D214" s="210" t="str">
        <f>IFERROR(VLOOKUP($B214,'Institution Evaluation'!$A$55:$F$346,3,0),IFERROR(VLOOKUP($B214,'Privacy Analyst Evaluation'!$A$46:$F$120,3,0),""))&amp;""</f>
        <v/>
      </c>
      <c r="E214" s="210" t="str">
        <f>IFERROR(VLOOKUP($B214,'Institution Evaluation'!$A$55:$F$346,4,0),IFERROR(VLOOKUP($B214,'Privacy Analyst Evaluation'!$A$46:$F$120,4,0),""))&amp;""</f>
        <v/>
      </c>
      <c r="F214" s="210" t="str">
        <f>IFERROR(VLOOKUP($B214,'Institution Evaluation'!$A$55:$F$346,6,0),IFERROR(VLOOKUP($B214,'Privacy Analyst Evaluation'!$A$46:$F$120,6,0),""))&amp;""</f>
        <v/>
      </c>
      <c r="G214" s="211"/>
      <c r="H214" s="210" t="str">
        <f>IFERROR(IF($H213+1&gt;'(backend scoring)'!$Q$335,"",$H213+1),"")</f>
        <v/>
      </c>
      <c r="I214" s="210" t="str">
        <f>_xlfn.XLOOKUP($H214,'(backend scoring)'!$S$2:$S$333,'(backend scoring)'!$A$2:$A$333,"")</f>
        <v/>
      </c>
      <c r="J214" s="210" t="str">
        <f>IFERROR(VLOOKUP($I214,'Institution Evaluation'!$A$55:$F$346,2,0),IFERROR(VLOOKUP($I214,'Privacy Analyst Evaluation'!$A$46:$F$120,2,0),""))</f>
        <v/>
      </c>
      <c r="K214" s="210" t="str">
        <f>IFERROR(VLOOKUP($I214,'Institution Evaluation'!$A$55:$F$346,3,0),IFERROR(VLOOKUP($I214,'Privacy Analyst Evaluation'!$A$46:$F$120,3,0),""))&amp;""</f>
        <v/>
      </c>
      <c r="L214" s="210" t="str">
        <f>IFERROR(VLOOKUP($I214,'Institution Evaluation'!$A$55:$F$346,4,0),IFERROR(VLOOKUP($I214,'Privacy Analyst Evaluation'!$A$46:$F$120,4,0),""))&amp;""</f>
        <v/>
      </c>
      <c r="M214" s="210"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2">
      <c r="A215" s="210" t="str">
        <f>IFERROR(IF($A214+1&gt;'(backend scoring)'!$T$335,"",$A214+1),"")</f>
        <v/>
      </c>
      <c r="B215" s="210" t="str">
        <f>_xlfn.XLOOKUP($A215,'(backend scoring)'!$V$2:$V$333,'(backend scoring)'!$A$2:$A$333,"")</f>
        <v/>
      </c>
      <c r="C215" s="210" t="str">
        <f>IFERROR(VLOOKUP($B215,'Institution Evaluation'!$A$55:$F$346,2,0),IFERROR(VLOOKUP($B215,'Privacy Analyst Evaluation'!$A$46:$F$120,2,0),""))&amp;""</f>
        <v/>
      </c>
      <c r="D215" s="210" t="str">
        <f>IFERROR(VLOOKUP($B215,'Institution Evaluation'!$A$55:$F$346,3,0),IFERROR(VLOOKUP($B215,'Privacy Analyst Evaluation'!$A$46:$F$120,3,0),""))&amp;""</f>
        <v/>
      </c>
      <c r="E215" s="210" t="str">
        <f>IFERROR(VLOOKUP($B215,'Institution Evaluation'!$A$55:$F$346,4,0),IFERROR(VLOOKUP($B215,'Privacy Analyst Evaluation'!$A$46:$F$120,4,0),""))&amp;""</f>
        <v/>
      </c>
      <c r="F215" s="210" t="str">
        <f>IFERROR(VLOOKUP($B215,'Institution Evaluation'!$A$55:$F$346,6,0),IFERROR(VLOOKUP($B215,'Privacy Analyst Evaluation'!$A$46:$F$120,6,0),""))&amp;""</f>
        <v/>
      </c>
      <c r="G215" s="211"/>
      <c r="H215" s="210" t="str">
        <f>IFERROR(IF($H214+1&gt;'(backend scoring)'!$Q$335,"",$H214+1),"")</f>
        <v/>
      </c>
      <c r="I215" s="210" t="str">
        <f>_xlfn.XLOOKUP($H215,'(backend scoring)'!$S$2:$S$333,'(backend scoring)'!$A$2:$A$333,"")</f>
        <v/>
      </c>
      <c r="J215" s="210" t="str">
        <f>IFERROR(VLOOKUP($I215,'Institution Evaluation'!$A$55:$F$346,2,0),IFERROR(VLOOKUP($I215,'Privacy Analyst Evaluation'!$A$46:$F$120,2,0),""))</f>
        <v/>
      </c>
      <c r="K215" s="210" t="str">
        <f>IFERROR(VLOOKUP($I215,'Institution Evaluation'!$A$55:$F$346,3,0),IFERROR(VLOOKUP($I215,'Privacy Analyst Evaluation'!$A$46:$F$120,3,0),""))&amp;""</f>
        <v/>
      </c>
      <c r="L215" s="210" t="str">
        <f>IFERROR(VLOOKUP($I215,'Institution Evaluation'!$A$55:$F$346,4,0),IFERROR(VLOOKUP($I215,'Privacy Analyst Evaluation'!$A$46:$F$120,4,0),""))&amp;""</f>
        <v/>
      </c>
      <c r="M215" s="210"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2">
      <c r="A216" s="210" t="str">
        <f>IFERROR(IF($A215+1&gt;'(backend scoring)'!$T$335,"",$A215+1),"")</f>
        <v/>
      </c>
      <c r="B216" s="210" t="str">
        <f>_xlfn.XLOOKUP($A216,'(backend scoring)'!$V$2:$V$333,'(backend scoring)'!$A$2:$A$333,"")</f>
        <v/>
      </c>
      <c r="C216" s="210" t="str">
        <f>IFERROR(VLOOKUP($B216,'Institution Evaluation'!$A$55:$F$346,2,0),IFERROR(VLOOKUP($B216,'Privacy Analyst Evaluation'!$A$46:$F$120,2,0),""))&amp;""</f>
        <v/>
      </c>
      <c r="D216" s="210" t="str">
        <f>IFERROR(VLOOKUP($B216,'Institution Evaluation'!$A$55:$F$346,3,0),IFERROR(VLOOKUP($B216,'Privacy Analyst Evaluation'!$A$46:$F$120,3,0),""))&amp;""</f>
        <v/>
      </c>
      <c r="E216" s="210" t="str">
        <f>IFERROR(VLOOKUP($B216,'Institution Evaluation'!$A$55:$F$346,4,0),IFERROR(VLOOKUP($B216,'Privacy Analyst Evaluation'!$A$46:$F$120,4,0),""))&amp;""</f>
        <v/>
      </c>
      <c r="F216" s="210" t="str">
        <f>IFERROR(VLOOKUP($B216,'Institution Evaluation'!$A$55:$F$346,6,0),IFERROR(VLOOKUP($B216,'Privacy Analyst Evaluation'!$A$46:$F$120,6,0),""))&amp;""</f>
        <v/>
      </c>
      <c r="G216" s="211"/>
      <c r="H216" s="210" t="str">
        <f>IFERROR(IF($H215+1&gt;'(backend scoring)'!$Q$335,"",$H215+1),"")</f>
        <v/>
      </c>
      <c r="I216" s="210" t="str">
        <f>_xlfn.XLOOKUP($H216,'(backend scoring)'!$S$2:$S$333,'(backend scoring)'!$A$2:$A$333,"")</f>
        <v/>
      </c>
      <c r="J216" s="210" t="str">
        <f>IFERROR(VLOOKUP($I216,'Institution Evaluation'!$A$55:$F$346,2,0),IFERROR(VLOOKUP($I216,'Privacy Analyst Evaluation'!$A$46:$F$120,2,0),""))</f>
        <v/>
      </c>
      <c r="K216" s="210" t="str">
        <f>IFERROR(VLOOKUP($I216,'Institution Evaluation'!$A$55:$F$346,3,0),IFERROR(VLOOKUP($I216,'Privacy Analyst Evaluation'!$A$46:$F$120,3,0),""))&amp;""</f>
        <v/>
      </c>
      <c r="L216" s="210" t="str">
        <f>IFERROR(VLOOKUP($I216,'Institution Evaluation'!$A$55:$F$346,4,0),IFERROR(VLOOKUP($I216,'Privacy Analyst Evaluation'!$A$46:$F$120,4,0),""))&amp;""</f>
        <v/>
      </c>
      <c r="M216" s="210"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2">
      <c r="A217" s="210" t="str">
        <f>IFERROR(IF($A216+1&gt;'(backend scoring)'!$T$335,"",$A216+1),"")</f>
        <v/>
      </c>
      <c r="B217" s="210" t="str">
        <f>_xlfn.XLOOKUP($A217,'(backend scoring)'!$V$2:$V$333,'(backend scoring)'!$A$2:$A$333,"")</f>
        <v/>
      </c>
      <c r="C217" s="210" t="str">
        <f>IFERROR(VLOOKUP($B217,'Institution Evaluation'!$A$55:$F$346,2,0),IFERROR(VLOOKUP($B217,'Privacy Analyst Evaluation'!$A$46:$F$120,2,0),""))&amp;""</f>
        <v/>
      </c>
      <c r="D217" s="210" t="str">
        <f>IFERROR(VLOOKUP($B217,'Institution Evaluation'!$A$55:$F$346,3,0),IFERROR(VLOOKUP($B217,'Privacy Analyst Evaluation'!$A$46:$F$120,3,0),""))&amp;""</f>
        <v/>
      </c>
      <c r="E217" s="210" t="str">
        <f>IFERROR(VLOOKUP($B217,'Institution Evaluation'!$A$55:$F$346,4,0),IFERROR(VLOOKUP($B217,'Privacy Analyst Evaluation'!$A$46:$F$120,4,0),""))&amp;""</f>
        <v/>
      </c>
      <c r="F217" s="210" t="str">
        <f>IFERROR(VLOOKUP($B217,'Institution Evaluation'!$A$55:$F$346,6,0),IFERROR(VLOOKUP($B217,'Privacy Analyst Evaluation'!$A$46:$F$120,6,0),""))&amp;""</f>
        <v/>
      </c>
      <c r="G217" s="211"/>
      <c r="H217" s="210" t="str">
        <f>IFERROR(IF($H216+1&gt;'(backend scoring)'!$Q$335,"",$H216+1),"")</f>
        <v/>
      </c>
      <c r="I217" s="210" t="str">
        <f>_xlfn.XLOOKUP($H217,'(backend scoring)'!$S$2:$S$333,'(backend scoring)'!$A$2:$A$333,"")</f>
        <v/>
      </c>
      <c r="J217" s="210" t="str">
        <f>IFERROR(VLOOKUP($I217,'Institution Evaluation'!$A$55:$F$346,2,0),IFERROR(VLOOKUP($I217,'Privacy Analyst Evaluation'!$A$46:$F$120,2,0),""))</f>
        <v/>
      </c>
      <c r="K217" s="210" t="str">
        <f>IFERROR(VLOOKUP($I217,'Institution Evaluation'!$A$55:$F$346,3,0),IFERROR(VLOOKUP($I217,'Privacy Analyst Evaluation'!$A$46:$F$120,3,0),""))&amp;""</f>
        <v/>
      </c>
      <c r="L217" s="210" t="str">
        <f>IFERROR(VLOOKUP($I217,'Institution Evaluation'!$A$55:$F$346,4,0),IFERROR(VLOOKUP($I217,'Privacy Analyst Evaluation'!$A$46:$F$120,4,0),""))&amp;""</f>
        <v/>
      </c>
      <c r="M217" s="210"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2">
      <c r="A218" s="210" t="str">
        <f>IFERROR(IF($A217+1&gt;'(backend scoring)'!$T$335,"",$A217+1),"")</f>
        <v/>
      </c>
      <c r="B218" s="210" t="str">
        <f>_xlfn.XLOOKUP($A218,'(backend scoring)'!$V$2:$V$333,'(backend scoring)'!$A$2:$A$333,"")</f>
        <v/>
      </c>
      <c r="C218" s="210" t="str">
        <f>IFERROR(VLOOKUP($B218,'Institution Evaluation'!$A$55:$F$346,2,0),IFERROR(VLOOKUP($B218,'Privacy Analyst Evaluation'!$A$46:$F$120,2,0),""))&amp;""</f>
        <v/>
      </c>
      <c r="D218" s="210" t="str">
        <f>IFERROR(VLOOKUP($B218,'Institution Evaluation'!$A$55:$F$346,3,0),IFERROR(VLOOKUP($B218,'Privacy Analyst Evaluation'!$A$46:$F$120,3,0),""))&amp;""</f>
        <v/>
      </c>
      <c r="E218" s="210" t="str">
        <f>IFERROR(VLOOKUP($B218,'Institution Evaluation'!$A$55:$F$346,4,0),IFERROR(VLOOKUP($B218,'Privacy Analyst Evaluation'!$A$46:$F$120,4,0),""))&amp;""</f>
        <v/>
      </c>
      <c r="F218" s="210" t="str">
        <f>IFERROR(VLOOKUP($B218,'Institution Evaluation'!$A$55:$F$346,6,0),IFERROR(VLOOKUP($B218,'Privacy Analyst Evaluation'!$A$46:$F$120,6,0),""))&amp;""</f>
        <v/>
      </c>
      <c r="G218" s="211"/>
      <c r="H218" s="210" t="str">
        <f>IFERROR(IF($H217+1&gt;'(backend scoring)'!$Q$335,"",$H217+1),"")</f>
        <v/>
      </c>
      <c r="I218" s="210" t="str">
        <f>_xlfn.XLOOKUP($H218,'(backend scoring)'!$S$2:$S$333,'(backend scoring)'!$A$2:$A$333,"")</f>
        <v/>
      </c>
      <c r="J218" s="210" t="str">
        <f>IFERROR(VLOOKUP($I218,'Institution Evaluation'!$A$55:$F$346,2,0),IFERROR(VLOOKUP($I218,'Privacy Analyst Evaluation'!$A$46:$F$120,2,0),""))</f>
        <v/>
      </c>
      <c r="K218" s="210" t="str">
        <f>IFERROR(VLOOKUP($I218,'Institution Evaluation'!$A$55:$F$346,3,0),IFERROR(VLOOKUP($I218,'Privacy Analyst Evaluation'!$A$46:$F$120,3,0),""))&amp;""</f>
        <v/>
      </c>
      <c r="L218" s="210" t="str">
        <f>IFERROR(VLOOKUP($I218,'Institution Evaluation'!$A$55:$F$346,4,0),IFERROR(VLOOKUP($I218,'Privacy Analyst Evaluation'!$A$46:$F$120,4,0),""))&amp;""</f>
        <v/>
      </c>
      <c r="M218" s="210"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2">
      <c r="A219" s="210" t="str">
        <f>IFERROR(IF($A218+1&gt;'(backend scoring)'!$T$335,"",$A218+1),"")</f>
        <v/>
      </c>
      <c r="B219" s="210" t="str">
        <f>_xlfn.XLOOKUP($A219,'(backend scoring)'!$V$2:$V$333,'(backend scoring)'!$A$2:$A$333,"")</f>
        <v/>
      </c>
      <c r="C219" s="210" t="str">
        <f>IFERROR(VLOOKUP($B219,'Institution Evaluation'!$A$55:$F$346,2,0),IFERROR(VLOOKUP($B219,'Privacy Analyst Evaluation'!$A$46:$F$120,2,0),""))&amp;""</f>
        <v/>
      </c>
      <c r="D219" s="210" t="str">
        <f>IFERROR(VLOOKUP($B219,'Institution Evaluation'!$A$55:$F$346,3,0),IFERROR(VLOOKUP($B219,'Privacy Analyst Evaluation'!$A$46:$F$120,3,0),""))&amp;""</f>
        <v/>
      </c>
      <c r="E219" s="210" t="str">
        <f>IFERROR(VLOOKUP($B219,'Institution Evaluation'!$A$55:$F$346,4,0),IFERROR(VLOOKUP($B219,'Privacy Analyst Evaluation'!$A$46:$F$120,4,0),""))&amp;""</f>
        <v/>
      </c>
      <c r="F219" s="210" t="str">
        <f>IFERROR(VLOOKUP($B219,'Institution Evaluation'!$A$55:$F$346,6,0),IFERROR(VLOOKUP($B219,'Privacy Analyst Evaluation'!$A$46:$F$120,6,0),""))&amp;""</f>
        <v/>
      </c>
      <c r="G219" s="211"/>
      <c r="H219" s="210" t="str">
        <f>IFERROR(IF($H218+1&gt;'(backend scoring)'!$Q$335,"",$H218+1),"")</f>
        <v/>
      </c>
      <c r="I219" s="210" t="str">
        <f>_xlfn.XLOOKUP($H219,'(backend scoring)'!$S$2:$S$333,'(backend scoring)'!$A$2:$A$333,"")</f>
        <v/>
      </c>
      <c r="J219" s="210" t="str">
        <f>IFERROR(VLOOKUP($I219,'Institution Evaluation'!$A$55:$F$346,2,0),IFERROR(VLOOKUP($I219,'Privacy Analyst Evaluation'!$A$46:$F$120,2,0),""))</f>
        <v/>
      </c>
      <c r="K219" s="210" t="str">
        <f>IFERROR(VLOOKUP($I219,'Institution Evaluation'!$A$55:$F$346,3,0),IFERROR(VLOOKUP($I219,'Privacy Analyst Evaluation'!$A$46:$F$120,3,0),""))&amp;""</f>
        <v/>
      </c>
      <c r="L219" s="210" t="str">
        <f>IFERROR(VLOOKUP($I219,'Institution Evaluation'!$A$55:$F$346,4,0),IFERROR(VLOOKUP($I219,'Privacy Analyst Evaluation'!$A$46:$F$120,4,0),""))&amp;""</f>
        <v/>
      </c>
      <c r="M219" s="210"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2">
      <c r="A220" s="210" t="str">
        <f>IFERROR(IF($A219+1&gt;'(backend scoring)'!$T$335,"",$A219+1),"")</f>
        <v/>
      </c>
      <c r="B220" s="210" t="str">
        <f>_xlfn.XLOOKUP($A220,'(backend scoring)'!$V$2:$V$333,'(backend scoring)'!$A$2:$A$333,"")</f>
        <v/>
      </c>
      <c r="C220" s="210" t="str">
        <f>IFERROR(VLOOKUP($B220,'Institution Evaluation'!$A$55:$F$346,2,0),IFERROR(VLOOKUP($B220,'Privacy Analyst Evaluation'!$A$46:$F$120,2,0),""))&amp;""</f>
        <v/>
      </c>
      <c r="D220" s="210" t="str">
        <f>IFERROR(VLOOKUP($B220,'Institution Evaluation'!$A$55:$F$346,3,0),IFERROR(VLOOKUP($B220,'Privacy Analyst Evaluation'!$A$46:$F$120,3,0),""))&amp;""</f>
        <v/>
      </c>
      <c r="E220" s="210" t="str">
        <f>IFERROR(VLOOKUP($B220,'Institution Evaluation'!$A$55:$F$346,4,0),IFERROR(VLOOKUP($B220,'Privacy Analyst Evaluation'!$A$46:$F$120,4,0),""))&amp;""</f>
        <v/>
      </c>
      <c r="F220" s="210" t="str">
        <f>IFERROR(VLOOKUP($B220,'Institution Evaluation'!$A$55:$F$346,6,0),IFERROR(VLOOKUP($B220,'Privacy Analyst Evaluation'!$A$46:$F$120,6,0),""))&amp;""</f>
        <v/>
      </c>
      <c r="G220" s="211"/>
      <c r="H220" s="210" t="str">
        <f>IFERROR(IF($H219+1&gt;'(backend scoring)'!$Q$335,"",$H219+1),"")</f>
        <v/>
      </c>
      <c r="I220" s="210" t="str">
        <f>_xlfn.XLOOKUP($H220,'(backend scoring)'!$S$2:$S$333,'(backend scoring)'!$A$2:$A$333,"")</f>
        <v/>
      </c>
      <c r="J220" s="210" t="str">
        <f>IFERROR(VLOOKUP($I220,'Institution Evaluation'!$A$55:$F$346,2,0),IFERROR(VLOOKUP($I220,'Privacy Analyst Evaluation'!$A$46:$F$120,2,0),""))</f>
        <v/>
      </c>
      <c r="K220" s="210" t="str">
        <f>IFERROR(VLOOKUP($I220,'Institution Evaluation'!$A$55:$F$346,3,0),IFERROR(VLOOKUP($I220,'Privacy Analyst Evaluation'!$A$46:$F$120,3,0),""))&amp;""</f>
        <v/>
      </c>
      <c r="L220" s="210" t="str">
        <f>IFERROR(VLOOKUP($I220,'Institution Evaluation'!$A$55:$F$346,4,0),IFERROR(VLOOKUP($I220,'Privacy Analyst Evaluation'!$A$46:$F$120,4,0),""))&amp;""</f>
        <v/>
      </c>
      <c r="M220" s="210"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2">
      <c r="A221" s="210" t="str">
        <f>IFERROR(IF($A220+1&gt;'(backend scoring)'!$T$335,"",$A220+1),"")</f>
        <v/>
      </c>
      <c r="B221" s="210" t="str">
        <f>_xlfn.XLOOKUP($A221,'(backend scoring)'!$V$2:$V$333,'(backend scoring)'!$A$2:$A$333,"")</f>
        <v/>
      </c>
      <c r="C221" s="210" t="str">
        <f>IFERROR(VLOOKUP($B221,'Institution Evaluation'!$A$55:$F$346,2,0),IFERROR(VLOOKUP($B221,'Privacy Analyst Evaluation'!$A$46:$F$120,2,0),""))&amp;""</f>
        <v/>
      </c>
      <c r="D221" s="210" t="str">
        <f>IFERROR(VLOOKUP($B221,'Institution Evaluation'!$A$55:$F$346,3,0),IFERROR(VLOOKUP($B221,'Privacy Analyst Evaluation'!$A$46:$F$120,3,0),""))&amp;""</f>
        <v/>
      </c>
      <c r="E221" s="210" t="str">
        <f>IFERROR(VLOOKUP($B221,'Institution Evaluation'!$A$55:$F$346,4,0),IFERROR(VLOOKUP($B221,'Privacy Analyst Evaluation'!$A$46:$F$120,4,0),""))&amp;""</f>
        <v/>
      </c>
      <c r="F221" s="210" t="str">
        <f>IFERROR(VLOOKUP($B221,'Institution Evaluation'!$A$55:$F$346,6,0),IFERROR(VLOOKUP($B221,'Privacy Analyst Evaluation'!$A$46:$F$120,6,0),""))&amp;""</f>
        <v/>
      </c>
      <c r="G221" s="211"/>
      <c r="H221" s="210" t="str">
        <f>IFERROR(IF($H220+1&gt;'(backend scoring)'!$Q$335,"",$H220+1),"")</f>
        <v/>
      </c>
      <c r="I221" s="210" t="str">
        <f>_xlfn.XLOOKUP($H221,'(backend scoring)'!$S$2:$S$333,'(backend scoring)'!$A$2:$A$333,"")</f>
        <v/>
      </c>
      <c r="J221" s="210" t="str">
        <f>IFERROR(VLOOKUP($I221,'Institution Evaluation'!$A$55:$F$346,2,0),IFERROR(VLOOKUP($I221,'Privacy Analyst Evaluation'!$A$46:$F$120,2,0),""))</f>
        <v/>
      </c>
      <c r="K221" s="210" t="str">
        <f>IFERROR(VLOOKUP($I221,'Institution Evaluation'!$A$55:$F$346,3,0),IFERROR(VLOOKUP($I221,'Privacy Analyst Evaluation'!$A$46:$F$120,3,0),""))&amp;""</f>
        <v/>
      </c>
      <c r="L221" s="210" t="str">
        <f>IFERROR(VLOOKUP($I221,'Institution Evaluation'!$A$55:$F$346,4,0),IFERROR(VLOOKUP($I221,'Privacy Analyst Evaluation'!$A$46:$F$120,4,0),""))&amp;""</f>
        <v/>
      </c>
      <c r="M221" s="210"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2">
      <c r="A222" s="210" t="str">
        <f>IFERROR(IF($A221+1&gt;'(backend scoring)'!$T$335,"",$A221+1),"")</f>
        <v/>
      </c>
      <c r="B222" s="210" t="str">
        <f>_xlfn.XLOOKUP($A222,'(backend scoring)'!$V$2:$V$333,'(backend scoring)'!$A$2:$A$333,"")</f>
        <v/>
      </c>
      <c r="C222" s="210" t="str">
        <f>IFERROR(VLOOKUP($B222,'Institution Evaluation'!$A$55:$F$346,2,0),IFERROR(VLOOKUP($B222,'Privacy Analyst Evaluation'!$A$46:$F$120,2,0),""))&amp;""</f>
        <v/>
      </c>
      <c r="D222" s="210" t="str">
        <f>IFERROR(VLOOKUP($B222,'Institution Evaluation'!$A$55:$F$346,3,0),IFERROR(VLOOKUP($B222,'Privacy Analyst Evaluation'!$A$46:$F$120,3,0),""))&amp;""</f>
        <v/>
      </c>
      <c r="E222" s="210" t="str">
        <f>IFERROR(VLOOKUP($B222,'Institution Evaluation'!$A$55:$F$346,4,0),IFERROR(VLOOKUP($B222,'Privacy Analyst Evaluation'!$A$46:$F$120,4,0),""))&amp;""</f>
        <v/>
      </c>
      <c r="F222" s="210" t="str">
        <f>IFERROR(VLOOKUP($B222,'Institution Evaluation'!$A$55:$F$346,6,0),IFERROR(VLOOKUP($B222,'Privacy Analyst Evaluation'!$A$46:$F$120,6,0),""))&amp;""</f>
        <v/>
      </c>
      <c r="G222" s="211"/>
      <c r="H222" s="210" t="str">
        <f>IFERROR(IF($H221+1&gt;'(backend scoring)'!$Q$335,"",$H221+1),"")</f>
        <v/>
      </c>
      <c r="I222" s="210" t="str">
        <f>_xlfn.XLOOKUP($H222,'(backend scoring)'!$S$2:$S$333,'(backend scoring)'!$A$2:$A$333,"")</f>
        <v/>
      </c>
      <c r="J222" s="210" t="str">
        <f>IFERROR(VLOOKUP($I222,'Institution Evaluation'!$A$55:$F$346,2,0),IFERROR(VLOOKUP($I222,'Privacy Analyst Evaluation'!$A$46:$F$120,2,0),""))</f>
        <v/>
      </c>
      <c r="K222" s="210" t="str">
        <f>IFERROR(VLOOKUP($I222,'Institution Evaluation'!$A$55:$F$346,3,0),IFERROR(VLOOKUP($I222,'Privacy Analyst Evaluation'!$A$46:$F$120,3,0),""))&amp;""</f>
        <v/>
      </c>
      <c r="L222" s="210" t="str">
        <f>IFERROR(VLOOKUP($I222,'Institution Evaluation'!$A$55:$F$346,4,0),IFERROR(VLOOKUP($I222,'Privacy Analyst Evaluation'!$A$46:$F$120,4,0),""))&amp;""</f>
        <v/>
      </c>
      <c r="M222" s="210"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2">
      <c r="A223" s="210" t="str">
        <f>IFERROR(IF($A222+1&gt;'(backend scoring)'!$T$335,"",$A222+1),"")</f>
        <v/>
      </c>
      <c r="B223" s="210" t="str">
        <f>_xlfn.XLOOKUP($A223,'(backend scoring)'!$V$2:$V$333,'(backend scoring)'!$A$2:$A$333,"")</f>
        <v/>
      </c>
      <c r="C223" s="210" t="str">
        <f>IFERROR(VLOOKUP($B223,'Institution Evaluation'!$A$55:$F$346,2,0),IFERROR(VLOOKUP($B223,'Privacy Analyst Evaluation'!$A$46:$F$120,2,0),""))&amp;""</f>
        <v/>
      </c>
      <c r="D223" s="210" t="str">
        <f>IFERROR(VLOOKUP($B223,'Institution Evaluation'!$A$55:$F$346,3,0),IFERROR(VLOOKUP($B223,'Privacy Analyst Evaluation'!$A$46:$F$120,3,0),""))&amp;""</f>
        <v/>
      </c>
      <c r="E223" s="210" t="str">
        <f>IFERROR(VLOOKUP($B223,'Institution Evaluation'!$A$55:$F$346,4,0),IFERROR(VLOOKUP($B223,'Privacy Analyst Evaluation'!$A$46:$F$120,4,0),""))&amp;""</f>
        <v/>
      </c>
      <c r="F223" s="210" t="str">
        <f>IFERROR(VLOOKUP($B223,'Institution Evaluation'!$A$55:$F$346,6,0),IFERROR(VLOOKUP($B223,'Privacy Analyst Evaluation'!$A$46:$F$120,6,0),""))&amp;""</f>
        <v/>
      </c>
      <c r="G223" s="211"/>
      <c r="H223" s="210" t="str">
        <f>IFERROR(IF($H222+1&gt;'(backend scoring)'!$Q$335,"",$H222+1),"")</f>
        <v/>
      </c>
      <c r="I223" s="210" t="str">
        <f>_xlfn.XLOOKUP($H223,'(backend scoring)'!$S$2:$S$333,'(backend scoring)'!$A$2:$A$333,"")</f>
        <v/>
      </c>
      <c r="J223" s="210" t="str">
        <f>IFERROR(VLOOKUP($I223,'Institution Evaluation'!$A$55:$F$346,2,0),IFERROR(VLOOKUP($I223,'Privacy Analyst Evaluation'!$A$46:$F$120,2,0),""))</f>
        <v/>
      </c>
      <c r="K223" s="210" t="str">
        <f>IFERROR(VLOOKUP($I223,'Institution Evaluation'!$A$55:$F$346,3,0),IFERROR(VLOOKUP($I223,'Privacy Analyst Evaluation'!$A$46:$F$120,3,0),""))&amp;""</f>
        <v/>
      </c>
      <c r="L223" s="210" t="str">
        <f>IFERROR(VLOOKUP($I223,'Institution Evaluation'!$A$55:$F$346,4,0),IFERROR(VLOOKUP($I223,'Privacy Analyst Evaluation'!$A$46:$F$120,4,0),""))&amp;""</f>
        <v/>
      </c>
      <c r="M223" s="210"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2">
      <c r="A224" s="210" t="str">
        <f>IFERROR(IF($A223+1&gt;'(backend scoring)'!$T$335,"",$A223+1),"")</f>
        <v/>
      </c>
      <c r="B224" s="210" t="str">
        <f>_xlfn.XLOOKUP($A224,'(backend scoring)'!$V$2:$V$333,'(backend scoring)'!$A$2:$A$333,"")</f>
        <v/>
      </c>
      <c r="C224" s="210" t="str">
        <f>IFERROR(VLOOKUP($B224,'Institution Evaluation'!$A$55:$F$346,2,0),IFERROR(VLOOKUP($B224,'Privacy Analyst Evaluation'!$A$46:$F$120,2,0),""))&amp;""</f>
        <v/>
      </c>
      <c r="D224" s="210" t="str">
        <f>IFERROR(VLOOKUP($B224,'Institution Evaluation'!$A$55:$F$346,3,0),IFERROR(VLOOKUP($B224,'Privacy Analyst Evaluation'!$A$46:$F$120,3,0),""))&amp;""</f>
        <v/>
      </c>
      <c r="E224" s="210" t="str">
        <f>IFERROR(VLOOKUP($B224,'Institution Evaluation'!$A$55:$F$346,4,0),IFERROR(VLOOKUP($B224,'Privacy Analyst Evaluation'!$A$46:$F$120,4,0),""))&amp;""</f>
        <v/>
      </c>
      <c r="F224" s="210" t="str">
        <f>IFERROR(VLOOKUP($B224,'Institution Evaluation'!$A$55:$F$346,6,0),IFERROR(VLOOKUP($B224,'Privacy Analyst Evaluation'!$A$46:$F$120,6,0),""))&amp;""</f>
        <v/>
      </c>
      <c r="G224" s="211"/>
      <c r="H224" s="210" t="str">
        <f>IFERROR(IF($H223+1&gt;'(backend scoring)'!$Q$335,"",$H223+1),"")</f>
        <v/>
      </c>
      <c r="I224" s="210" t="str">
        <f>_xlfn.XLOOKUP($H224,'(backend scoring)'!$S$2:$S$333,'(backend scoring)'!$A$2:$A$333,"")</f>
        <v/>
      </c>
      <c r="J224" s="210" t="str">
        <f>IFERROR(VLOOKUP($I224,'Institution Evaluation'!$A$55:$F$346,2,0),IFERROR(VLOOKUP($I224,'Privacy Analyst Evaluation'!$A$46:$F$120,2,0),""))</f>
        <v/>
      </c>
      <c r="K224" s="210" t="str">
        <f>IFERROR(VLOOKUP($I224,'Institution Evaluation'!$A$55:$F$346,3,0),IFERROR(VLOOKUP($I224,'Privacy Analyst Evaluation'!$A$46:$F$120,3,0),""))&amp;""</f>
        <v/>
      </c>
      <c r="L224" s="210" t="str">
        <f>IFERROR(VLOOKUP($I224,'Institution Evaluation'!$A$55:$F$346,4,0),IFERROR(VLOOKUP($I224,'Privacy Analyst Evaluation'!$A$46:$F$120,4,0),""))&amp;""</f>
        <v/>
      </c>
      <c r="M224" s="210"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2">
      <c r="A225" s="210" t="str">
        <f>IFERROR(IF($A224+1&gt;'(backend scoring)'!$T$335,"",$A224+1),"")</f>
        <v/>
      </c>
      <c r="B225" s="210" t="str">
        <f>_xlfn.XLOOKUP($A225,'(backend scoring)'!$V$2:$V$333,'(backend scoring)'!$A$2:$A$333,"")</f>
        <v/>
      </c>
      <c r="C225" s="210" t="str">
        <f>IFERROR(VLOOKUP($B225,'Institution Evaluation'!$A$55:$F$346,2,0),IFERROR(VLOOKUP($B225,'Privacy Analyst Evaluation'!$A$46:$F$120,2,0),""))&amp;""</f>
        <v/>
      </c>
      <c r="D225" s="210" t="str">
        <f>IFERROR(VLOOKUP($B225,'Institution Evaluation'!$A$55:$F$346,3,0),IFERROR(VLOOKUP($B225,'Privacy Analyst Evaluation'!$A$46:$F$120,3,0),""))&amp;""</f>
        <v/>
      </c>
      <c r="E225" s="210" t="str">
        <f>IFERROR(VLOOKUP($B225,'Institution Evaluation'!$A$55:$F$346,4,0),IFERROR(VLOOKUP($B225,'Privacy Analyst Evaluation'!$A$46:$F$120,4,0),""))&amp;""</f>
        <v/>
      </c>
      <c r="F225" s="210" t="str">
        <f>IFERROR(VLOOKUP($B225,'Institution Evaluation'!$A$55:$F$346,6,0),IFERROR(VLOOKUP($B225,'Privacy Analyst Evaluation'!$A$46:$F$120,6,0),""))&amp;""</f>
        <v/>
      </c>
      <c r="G225" s="211"/>
      <c r="H225" s="210" t="str">
        <f>IFERROR(IF($H224+1&gt;'(backend scoring)'!$Q$335,"",$H224+1),"")</f>
        <v/>
      </c>
      <c r="I225" s="210" t="str">
        <f>_xlfn.XLOOKUP($H225,'(backend scoring)'!$S$2:$S$333,'(backend scoring)'!$A$2:$A$333,"")</f>
        <v/>
      </c>
      <c r="J225" s="210" t="str">
        <f>IFERROR(VLOOKUP($I225,'Institution Evaluation'!$A$55:$F$346,2,0),IFERROR(VLOOKUP($I225,'Privacy Analyst Evaluation'!$A$46:$F$120,2,0),""))</f>
        <v/>
      </c>
      <c r="K225" s="210" t="str">
        <f>IFERROR(VLOOKUP($I225,'Institution Evaluation'!$A$55:$F$346,3,0),IFERROR(VLOOKUP($I225,'Privacy Analyst Evaluation'!$A$46:$F$120,3,0),""))&amp;""</f>
        <v/>
      </c>
      <c r="L225" s="210" t="str">
        <f>IFERROR(VLOOKUP($I225,'Institution Evaluation'!$A$55:$F$346,4,0),IFERROR(VLOOKUP($I225,'Privacy Analyst Evaluation'!$A$46:$F$120,4,0),""))&amp;""</f>
        <v/>
      </c>
      <c r="M225" s="210"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2">
      <c r="A226" s="210" t="str">
        <f>IFERROR(IF($A225+1&gt;'(backend scoring)'!$T$335,"",$A225+1),"")</f>
        <v/>
      </c>
      <c r="B226" s="210" t="str">
        <f>_xlfn.XLOOKUP($A226,'(backend scoring)'!$V$2:$V$333,'(backend scoring)'!$A$2:$A$333,"")</f>
        <v/>
      </c>
      <c r="C226" s="210" t="str">
        <f>IFERROR(VLOOKUP($B226,'Institution Evaluation'!$A$55:$F$346,2,0),IFERROR(VLOOKUP($B226,'Privacy Analyst Evaluation'!$A$46:$F$120,2,0),""))&amp;""</f>
        <v/>
      </c>
      <c r="D226" s="210" t="str">
        <f>IFERROR(VLOOKUP($B226,'Institution Evaluation'!$A$55:$F$346,3,0),IFERROR(VLOOKUP($B226,'Privacy Analyst Evaluation'!$A$46:$F$120,3,0),""))&amp;""</f>
        <v/>
      </c>
      <c r="E226" s="210" t="str">
        <f>IFERROR(VLOOKUP($B226,'Institution Evaluation'!$A$55:$F$346,4,0),IFERROR(VLOOKUP($B226,'Privacy Analyst Evaluation'!$A$46:$F$120,4,0),""))&amp;""</f>
        <v/>
      </c>
      <c r="F226" s="210" t="str">
        <f>IFERROR(VLOOKUP($B226,'Institution Evaluation'!$A$55:$F$346,6,0),IFERROR(VLOOKUP($B226,'Privacy Analyst Evaluation'!$A$46:$F$120,6,0),""))&amp;""</f>
        <v/>
      </c>
      <c r="G226" s="211"/>
      <c r="H226" s="210" t="str">
        <f>IFERROR(IF($H225+1&gt;'(backend scoring)'!$Q$335,"",$H225+1),"")</f>
        <v/>
      </c>
      <c r="I226" s="210" t="str">
        <f>_xlfn.XLOOKUP($H226,'(backend scoring)'!$S$2:$S$333,'(backend scoring)'!$A$2:$A$333,"")</f>
        <v/>
      </c>
      <c r="J226" s="210" t="str">
        <f>IFERROR(VLOOKUP($I226,'Institution Evaluation'!$A$55:$F$346,2,0),IFERROR(VLOOKUP($I226,'Privacy Analyst Evaluation'!$A$46:$F$120,2,0),""))</f>
        <v/>
      </c>
      <c r="K226" s="210" t="str">
        <f>IFERROR(VLOOKUP($I226,'Institution Evaluation'!$A$55:$F$346,3,0),IFERROR(VLOOKUP($I226,'Privacy Analyst Evaluation'!$A$46:$F$120,3,0),""))&amp;""</f>
        <v/>
      </c>
      <c r="L226" s="210" t="str">
        <f>IFERROR(VLOOKUP($I226,'Institution Evaluation'!$A$55:$F$346,4,0),IFERROR(VLOOKUP($I226,'Privacy Analyst Evaluation'!$A$46:$F$120,4,0),""))&amp;""</f>
        <v/>
      </c>
      <c r="M226" s="210"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2">
      <c r="A227" s="210" t="str">
        <f>IFERROR(IF($A226+1&gt;'(backend scoring)'!$T$335,"",$A226+1),"")</f>
        <v/>
      </c>
      <c r="B227" s="210" t="str">
        <f>_xlfn.XLOOKUP($A227,'(backend scoring)'!$V$2:$V$333,'(backend scoring)'!$A$2:$A$333,"")</f>
        <v/>
      </c>
      <c r="C227" s="210" t="str">
        <f>IFERROR(VLOOKUP($B227,'Institution Evaluation'!$A$55:$F$346,2,0),IFERROR(VLOOKUP($B227,'Privacy Analyst Evaluation'!$A$46:$F$120,2,0),""))&amp;""</f>
        <v/>
      </c>
      <c r="D227" s="210" t="str">
        <f>IFERROR(VLOOKUP($B227,'Institution Evaluation'!$A$55:$F$346,3,0),IFERROR(VLOOKUP($B227,'Privacy Analyst Evaluation'!$A$46:$F$120,3,0),""))&amp;""</f>
        <v/>
      </c>
      <c r="E227" s="210" t="str">
        <f>IFERROR(VLOOKUP($B227,'Institution Evaluation'!$A$55:$F$346,4,0),IFERROR(VLOOKUP($B227,'Privacy Analyst Evaluation'!$A$46:$F$120,4,0),""))&amp;""</f>
        <v/>
      </c>
      <c r="F227" s="210" t="str">
        <f>IFERROR(VLOOKUP($B227,'Institution Evaluation'!$A$55:$F$346,6,0),IFERROR(VLOOKUP($B227,'Privacy Analyst Evaluation'!$A$46:$F$120,6,0),""))&amp;""</f>
        <v/>
      </c>
      <c r="G227" s="211"/>
      <c r="H227" s="210" t="str">
        <f>IFERROR(IF($H226+1&gt;'(backend scoring)'!$Q$335,"",$H226+1),"")</f>
        <v/>
      </c>
      <c r="I227" s="210" t="str">
        <f>_xlfn.XLOOKUP($H227,'(backend scoring)'!$S$2:$S$333,'(backend scoring)'!$A$2:$A$333,"")</f>
        <v/>
      </c>
      <c r="J227" s="210" t="str">
        <f>IFERROR(VLOOKUP($I227,'Institution Evaluation'!$A$55:$F$346,2,0),IFERROR(VLOOKUP($I227,'Privacy Analyst Evaluation'!$A$46:$F$120,2,0),""))</f>
        <v/>
      </c>
      <c r="K227" s="210" t="str">
        <f>IFERROR(VLOOKUP($I227,'Institution Evaluation'!$A$55:$F$346,3,0),IFERROR(VLOOKUP($I227,'Privacy Analyst Evaluation'!$A$46:$F$120,3,0),""))&amp;""</f>
        <v/>
      </c>
      <c r="L227" s="210" t="str">
        <f>IFERROR(VLOOKUP($I227,'Institution Evaluation'!$A$55:$F$346,4,0),IFERROR(VLOOKUP($I227,'Privacy Analyst Evaluation'!$A$46:$F$120,4,0),""))&amp;""</f>
        <v/>
      </c>
      <c r="M227" s="210"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2">
      <c r="A228" s="210" t="str">
        <f>IFERROR(IF($A227+1&gt;'(backend scoring)'!$T$335,"",$A227+1),"")</f>
        <v/>
      </c>
      <c r="B228" s="210" t="str">
        <f>_xlfn.XLOOKUP($A228,'(backend scoring)'!$V$2:$V$333,'(backend scoring)'!$A$2:$A$333,"")</f>
        <v/>
      </c>
      <c r="C228" s="210" t="str">
        <f>IFERROR(VLOOKUP($B228,'Institution Evaluation'!$A$55:$F$346,2,0),IFERROR(VLOOKUP($B228,'Privacy Analyst Evaluation'!$A$46:$F$120,2,0),""))&amp;""</f>
        <v/>
      </c>
      <c r="D228" s="210" t="str">
        <f>IFERROR(VLOOKUP($B228,'Institution Evaluation'!$A$55:$F$346,3,0),IFERROR(VLOOKUP($B228,'Privacy Analyst Evaluation'!$A$46:$F$120,3,0),""))&amp;""</f>
        <v/>
      </c>
      <c r="E228" s="210" t="str">
        <f>IFERROR(VLOOKUP($B228,'Institution Evaluation'!$A$55:$F$346,4,0),IFERROR(VLOOKUP($B228,'Privacy Analyst Evaluation'!$A$46:$F$120,4,0),""))&amp;""</f>
        <v/>
      </c>
      <c r="F228" s="210" t="str">
        <f>IFERROR(VLOOKUP($B228,'Institution Evaluation'!$A$55:$F$346,6,0),IFERROR(VLOOKUP($B228,'Privacy Analyst Evaluation'!$A$46:$F$120,6,0),""))&amp;""</f>
        <v/>
      </c>
      <c r="G228" s="211"/>
      <c r="H228" s="210" t="str">
        <f>IFERROR(IF($H227+1&gt;'(backend scoring)'!$Q$335,"",$H227+1),"")</f>
        <v/>
      </c>
      <c r="I228" s="210" t="str">
        <f>_xlfn.XLOOKUP($H228,'(backend scoring)'!$S$2:$S$333,'(backend scoring)'!$A$2:$A$333,"")</f>
        <v/>
      </c>
      <c r="J228" s="210" t="str">
        <f>IFERROR(VLOOKUP($I228,'Institution Evaluation'!$A$55:$F$346,2,0),IFERROR(VLOOKUP($I228,'Privacy Analyst Evaluation'!$A$46:$F$120,2,0),""))</f>
        <v/>
      </c>
      <c r="K228" s="210" t="str">
        <f>IFERROR(VLOOKUP($I228,'Institution Evaluation'!$A$55:$F$346,3,0),IFERROR(VLOOKUP($I228,'Privacy Analyst Evaluation'!$A$46:$F$120,3,0),""))&amp;""</f>
        <v/>
      </c>
      <c r="L228" s="210" t="str">
        <f>IFERROR(VLOOKUP($I228,'Institution Evaluation'!$A$55:$F$346,4,0),IFERROR(VLOOKUP($I228,'Privacy Analyst Evaluation'!$A$46:$F$120,4,0),""))&amp;""</f>
        <v/>
      </c>
      <c r="M228" s="210"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2">
      <c r="A229" s="210" t="str">
        <f>IFERROR(IF($A228+1&gt;'(backend scoring)'!$T$335,"",$A228+1),"")</f>
        <v/>
      </c>
      <c r="B229" s="210" t="str">
        <f>_xlfn.XLOOKUP($A229,'(backend scoring)'!$V$2:$V$333,'(backend scoring)'!$A$2:$A$333,"")</f>
        <v/>
      </c>
      <c r="C229" s="210" t="str">
        <f>IFERROR(VLOOKUP($B229,'Institution Evaluation'!$A$55:$F$346,2,0),IFERROR(VLOOKUP($B229,'Privacy Analyst Evaluation'!$A$46:$F$120,2,0),""))&amp;""</f>
        <v/>
      </c>
      <c r="D229" s="210" t="str">
        <f>IFERROR(VLOOKUP($B229,'Institution Evaluation'!$A$55:$F$346,3,0),IFERROR(VLOOKUP($B229,'Privacy Analyst Evaluation'!$A$46:$F$120,3,0),""))&amp;""</f>
        <v/>
      </c>
      <c r="E229" s="210" t="str">
        <f>IFERROR(VLOOKUP($B229,'Institution Evaluation'!$A$55:$F$346,4,0),IFERROR(VLOOKUP($B229,'Privacy Analyst Evaluation'!$A$46:$F$120,4,0),""))&amp;""</f>
        <v/>
      </c>
      <c r="F229" s="210" t="str">
        <f>IFERROR(VLOOKUP($B229,'Institution Evaluation'!$A$55:$F$346,6,0),IFERROR(VLOOKUP($B229,'Privacy Analyst Evaluation'!$A$46:$F$120,6,0),""))&amp;""</f>
        <v/>
      </c>
      <c r="G229" s="211"/>
      <c r="H229" s="210" t="str">
        <f>IFERROR(IF($H228+1&gt;'(backend scoring)'!$Q$335,"",$H228+1),"")</f>
        <v/>
      </c>
      <c r="I229" s="210" t="str">
        <f>_xlfn.XLOOKUP($H229,'(backend scoring)'!$S$2:$S$333,'(backend scoring)'!$A$2:$A$333,"")</f>
        <v/>
      </c>
      <c r="J229" s="210" t="str">
        <f>IFERROR(VLOOKUP($I229,'Institution Evaluation'!$A$55:$F$346,2,0),IFERROR(VLOOKUP($I229,'Privacy Analyst Evaluation'!$A$46:$F$120,2,0),""))</f>
        <v/>
      </c>
      <c r="K229" s="210" t="str">
        <f>IFERROR(VLOOKUP($I229,'Institution Evaluation'!$A$55:$F$346,3,0),IFERROR(VLOOKUP($I229,'Privacy Analyst Evaluation'!$A$46:$F$120,3,0),""))&amp;""</f>
        <v/>
      </c>
      <c r="L229" s="210" t="str">
        <f>IFERROR(VLOOKUP($I229,'Institution Evaluation'!$A$55:$F$346,4,0),IFERROR(VLOOKUP($I229,'Privacy Analyst Evaluation'!$A$46:$F$120,4,0),""))&amp;""</f>
        <v/>
      </c>
      <c r="M229" s="210"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2">
      <c r="A230" s="210" t="str">
        <f>IFERROR(IF($A229+1&gt;'(backend scoring)'!$T$335,"",$A229+1),"")</f>
        <v/>
      </c>
      <c r="B230" s="210" t="str">
        <f>_xlfn.XLOOKUP($A230,'(backend scoring)'!$V$2:$V$333,'(backend scoring)'!$A$2:$A$333,"")</f>
        <v/>
      </c>
      <c r="C230" s="210" t="str">
        <f>IFERROR(VLOOKUP($B230,'Institution Evaluation'!$A$55:$F$346,2,0),IFERROR(VLOOKUP($B230,'Privacy Analyst Evaluation'!$A$46:$F$120,2,0),""))&amp;""</f>
        <v/>
      </c>
      <c r="D230" s="210" t="str">
        <f>IFERROR(VLOOKUP($B230,'Institution Evaluation'!$A$55:$F$346,3,0),IFERROR(VLOOKUP($B230,'Privacy Analyst Evaluation'!$A$46:$F$120,3,0),""))&amp;""</f>
        <v/>
      </c>
      <c r="E230" s="210" t="str">
        <f>IFERROR(VLOOKUP($B230,'Institution Evaluation'!$A$55:$F$346,4,0),IFERROR(VLOOKUP($B230,'Privacy Analyst Evaluation'!$A$46:$F$120,4,0),""))&amp;""</f>
        <v/>
      </c>
      <c r="F230" s="210" t="str">
        <f>IFERROR(VLOOKUP($B230,'Institution Evaluation'!$A$55:$F$346,6,0),IFERROR(VLOOKUP($B230,'Privacy Analyst Evaluation'!$A$46:$F$120,6,0),""))&amp;""</f>
        <v/>
      </c>
      <c r="G230" s="211"/>
      <c r="H230" s="210" t="str">
        <f>IFERROR(IF($H229+1&gt;'(backend scoring)'!$Q$335,"",$H229+1),"")</f>
        <v/>
      </c>
      <c r="I230" s="210" t="str">
        <f>_xlfn.XLOOKUP($H230,'(backend scoring)'!$S$2:$S$333,'(backend scoring)'!$A$2:$A$333,"")</f>
        <v/>
      </c>
      <c r="J230" s="210" t="str">
        <f>IFERROR(VLOOKUP($I230,'Institution Evaluation'!$A$55:$F$346,2,0),IFERROR(VLOOKUP($I230,'Privacy Analyst Evaluation'!$A$46:$F$120,2,0),""))</f>
        <v/>
      </c>
      <c r="K230" s="210" t="str">
        <f>IFERROR(VLOOKUP($I230,'Institution Evaluation'!$A$55:$F$346,3,0),IFERROR(VLOOKUP($I230,'Privacy Analyst Evaluation'!$A$46:$F$120,3,0),""))&amp;""</f>
        <v/>
      </c>
      <c r="L230" s="210" t="str">
        <f>IFERROR(VLOOKUP($I230,'Institution Evaluation'!$A$55:$F$346,4,0),IFERROR(VLOOKUP($I230,'Privacy Analyst Evaluation'!$A$46:$F$120,4,0),""))&amp;""</f>
        <v/>
      </c>
      <c r="M230" s="210"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2">
      <c r="A231" s="210" t="str">
        <f>IFERROR(IF($A230+1&gt;'(backend scoring)'!$T$335,"",$A230+1),"")</f>
        <v/>
      </c>
      <c r="B231" s="210" t="str">
        <f>_xlfn.XLOOKUP($A231,'(backend scoring)'!$V$2:$V$333,'(backend scoring)'!$A$2:$A$333,"")</f>
        <v/>
      </c>
      <c r="C231" s="210" t="str">
        <f>IFERROR(VLOOKUP($B231,'Institution Evaluation'!$A$55:$F$346,2,0),IFERROR(VLOOKUP($B231,'Privacy Analyst Evaluation'!$A$46:$F$120,2,0),""))&amp;""</f>
        <v/>
      </c>
      <c r="D231" s="210" t="str">
        <f>IFERROR(VLOOKUP($B231,'Institution Evaluation'!$A$55:$F$346,3,0),IFERROR(VLOOKUP($B231,'Privacy Analyst Evaluation'!$A$46:$F$120,3,0),""))&amp;""</f>
        <v/>
      </c>
      <c r="E231" s="210" t="str">
        <f>IFERROR(VLOOKUP($B231,'Institution Evaluation'!$A$55:$F$346,4,0),IFERROR(VLOOKUP($B231,'Privacy Analyst Evaluation'!$A$46:$F$120,4,0),""))&amp;""</f>
        <v/>
      </c>
      <c r="F231" s="210" t="str">
        <f>IFERROR(VLOOKUP($B231,'Institution Evaluation'!$A$55:$F$346,6,0),IFERROR(VLOOKUP($B231,'Privacy Analyst Evaluation'!$A$46:$F$120,6,0),""))&amp;""</f>
        <v/>
      </c>
      <c r="G231" s="211"/>
      <c r="H231" s="210" t="str">
        <f>IFERROR(IF($H230+1&gt;'(backend scoring)'!$Q$335,"",$H230+1),"")</f>
        <v/>
      </c>
      <c r="I231" s="210" t="str">
        <f>_xlfn.XLOOKUP($H231,'(backend scoring)'!$S$2:$S$333,'(backend scoring)'!$A$2:$A$333,"")</f>
        <v/>
      </c>
      <c r="J231" s="210" t="str">
        <f>IFERROR(VLOOKUP($I231,'Institution Evaluation'!$A$55:$F$346,2,0),IFERROR(VLOOKUP($I231,'Privacy Analyst Evaluation'!$A$46:$F$120,2,0),""))</f>
        <v/>
      </c>
      <c r="K231" s="210" t="str">
        <f>IFERROR(VLOOKUP($I231,'Institution Evaluation'!$A$55:$F$346,3,0),IFERROR(VLOOKUP($I231,'Privacy Analyst Evaluation'!$A$46:$F$120,3,0),""))&amp;""</f>
        <v/>
      </c>
      <c r="L231" s="210" t="str">
        <f>IFERROR(VLOOKUP($I231,'Institution Evaluation'!$A$55:$F$346,4,0),IFERROR(VLOOKUP($I231,'Privacy Analyst Evaluation'!$A$46:$F$120,4,0),""))&amp;""</f>
        <v/>
      </c>
      <c r="M231" s="210"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2">
      <c r="A232" s="210" t="str">
        <f>IFERROR(IF($A231+1&gt;'(backend scoring)'!$T$335,"",$A231+1),"")</f>
        <v/>
      </c>
      <c r="B232" s="210" t="str">
        <f>_xlfn.XLOOKUP($A232,'(backend scoring)'!$V$2:$V$333,'(backend scoring)'!$A$2:$A$333,"")</f>
        <v/>
      </c>
      <c r="C232" s="210" t="str">
        <f>IFERROR(VLOOKUP($B232,'Institution Evaluation'!$A$55:$F$346,2,0),IFERROR(VLOOKUP($B232,'Privacy Analyst Evaluation'!$A$46:$F$120,2,0),""))&amp;""</f>
        <v/>
      </c>
      <c r="D232" s="210" t="str">
        <f>IFERROR(VLOOKUP($B232,'Institution Evaluation'!$A$55:$F$346,3,0),IFERROR(VLOOKUP($B232,'Privacy Analyst Evaluation'!$A$46:$F$120,3,0),""))&amp;""</f>
        <v/>
      </c>
      <c r="E232" s="210" t="str">
        <f>IFERROR(VLOOKUP($B232,'Institution Evaluation'!$A$55:$F$346,4,0),IFERROR(VLOOKUP($B232,'Privacy Analyst Evaluation'!$A$46:$F$120,4,0),""))&amp;""</f>
        <v/>
      </c>
      <c r="F232" s="210" t="str">
        <f>IFERROR(VLOOKUP($B232,'Institution Evaluation'!$A$55:$F$346,6,0),IFERROR(VLOOKUP($B232,'Privacy Analyst Evaluation'!$A$46:$F$120,6,0),""))&amp;""</f>
        <v/>
      </c>
      <c r="G232" s="211"/>
      <c r="H232" s="210" t="str">
        <f>IFERROR(IF($H231+1&gt;'(backend scoring)'!$Q$335,"",$H231+1),"")</f>
        <v/>
      </c>
      <c r="I232" s="210" t="str">
        <f>_xlfn.XLOOKUP($H232,'(backend scoring)'!$S$2:$S$333,'(backend scoring)'!$A$2:$A$333,"")</f>
        <v/>
      </c>
      <c r="J232" s="210" t="str">
        <f>IFERROR(VLOOKUP($I232,'Institution Evaluation'!$A$55:$F$346,2,0),IFERROR(VLOOKUP($I232,'Privacy Analyst Evaluation'!$A$46:$F$120,2,0),""))</f>
        <v/>
      </c>
      <c r="K232" s="210" t="str">
        <f>IFERROR(VLOOKUP($I232,'Institution Evaluation'!$A$55:$F$346,3,0),IFERROR(VLOOKUP($I232,'Privacy Analyst Evaluation'!$A$46:$F$120,3,0),""))&amp;""</f>
        <v/>
      </c>
      <c r="L232" s="210" t="str">
        <f>IFERROR(VLOOKUP($I232,'Institution Evaluation'!$A$55:$F$346,4,0),IFERROR(VLOOKUP($I232,'Privacy Analyst Evaluation'!$A$46:$F$120,4,0),""))&amp;""</f>
        <v/>
      </c>
      <c r="M232" s="210"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2">
      <c r="A233" s="210" t="str">
        <f>IFERROR(IF($A232+1&gt;'(backend scoring)'!$T$335,"",$A232+1),"")</f>
        <v/>
      </c>
      <c r="B233" s="210" t="str">
        <f>_xlfn.XLOOKUP($A233,'(backend scoring)'!$V$2:$V$333,'(backend scoring)'!$A$2:$A$333,"")</f>
        <v/>
      </c>
      <c r="C233" s="210" t="str">
        <f>IFERROR(VLOOKUP($B233,'Institution Evaluation'!$A$55:$F$346,2,0),IFERROR(VLOOKUP($B233,'Privacy Analyst Evaluation'!$A$46:$F$120,2,0),""))&amp;""</f>
        <v/>
      </c>
      <c r="D233" s="210" t="str">
        <f>IFERROR(VLOOKUP($B233,'Institution Evaluation'!$A$55:$F$346,3,0),IFERROR(VLOOKUP($B233,'Privacy Analyst Evaluation'!$A$46:$F$120,3,0),""))&amp;""</f>
        <v/>
      </c>
      <c r="E233" s="210" t="str">
        <f>IFERROR(VLOOKUP($B233,'Institution Evaluation'!$A$55:$F$346,4,0),IFERROR(VLOOKUP($B233,'Privacy Analyst Evaluation'!$A$46:$F$120,4,0),""))&amp;""</f>
        <v/>
      </c>
      <c r="F233" s="210" t="str">
        <f>IFERROR(VLOOKUP($B233,'Institution Evaluation'!$A$55:$F$346,6,0),IFERROR(VLOOKUP($B233,'Privacy Analyst Evaluation'!$A$46:$F$120,6,0),""))&amp;""</f>
        <v/>
      </c>
      <c r="G233" s="211"/>
      <c r="H233" s="210" t="str">
        <f>IFERROR(IF($H232+1&gt;'(backend scoring)'!$Q$335,"",$H232+1),"")</f>
        <v/>
      </c>
      <c r="I233" s="210" t="str">
        <f>_xlfn.XLOOKUP($H233,'(backend scoring)'!$S$2:$S$333,'(backend scoring)'!$A$2:$A$333,"")</f>
        <v/>
      </c>
      <c r="J233" s="210" t="str">
        <f>IFERROR(VLOOKUP($I233,'Institution Evaluation'!$A$55:$F$346,2,0),IFERROR(VLOOKUP($I233,'Privacy Analyst Evaluation'!$A$46:$F$120,2,0),""))</f>
        <v/>
      </c>
      <c r="K233" s="210" t="str">
        <f>IFERROR(VLOOKUP($I233,'Institution Evaluation'!$A$55:$F$346,3,0),IFERROR(VLOOKUP($I233,'Privacy Analyst Evaluation'!$A$46:$F$120,3,0),""))&amp;""</f>
        <v/>
      </c>
      <c r="L233" s="210" t="str">
        <f>IFERROR(VLOOKUP($I233,'Institution Evaluation'!$A$55:$F$346,4,0),IFERROR(VLOOKUP($I233,'Privacy Analyst Evaluation'!$A$46:$F$120,4,0),""))&amp;""</f>
        <v/>
      </c>
      <c r="M233" s="210"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2">
      <c r="A234" s="210" t="str">
        <f>IFERROR(IF($A233+1&gt;'(backend scoring)'!$T$335,"",$A233+1),"")</f>
        <v/>
      </c>
      <c r="B234" s="210" t="str">
        <f>_xlfn.XLOOKUP($A234,'(backend scoring)'!$V$2:$V$333,'(backend scoring)'!$A$2:$A$333,"")</f>
        <v/>
      </c>
      <c r="C234" s="210" t="str">
        <f>IFERROR(VLOOKUP($B234,'Institution Evaluation'!$A$55:$F$346,2,0),IFERROR(VLOOKUP($B234,'Privacy Analyst Evaluation'!$A$46:$F$120,2,0),""))&amp;""</f>
        <v/>
      </c>
      <c r="D234" s="210" t="str">
        <f>IFERROR(VLOOKUP($B234,'Institution Evaluation'!$A$55:$F$346,3,0),IFERROR(VLOOKUP($B234,'Privacy Analyst Evaluation'!$A$46:$F$120,3,0),""))&amp;""</f>
        <v/>
      </c>
      <c r="E234" s="210" t="str">
        <f>IFERROR(VLOOKUP($B234,'Institution Evaluation'!$A$55:$F$346,4,0),IFERROR(VLOOKUP($B234,'Privacy Analyst Evaluation'!$A$46:$F$120,4,0),""))&amp;""</f>
        <v/>
      </c>
      <c r="F234" s="210" t="str">
        <f>IFERROR(VLOOKUP($B234,'Institution Evaluation'!$A$55:$F$346,6,0),IFERROR(VLOOKUP($B234,'Privacy Analyst Evaluation'!$A$46:$F$120,6,0),""))&amp;""</f>
        <v/>
      </c>
      <c r="G234" s="211"/>
      <c r="H234" s="210" t="str">
        <f>IFERROR(IF($H233+1&gt;'(backend scoring)'!$Q$335,"",$H233+1),"")</f>
        <v/>
      </c>
      <c r="I234" s="210" t="str">
        <f>_xlfn.XLOOKUP($H234,'(backend scoring)'!$S$2:$S$333,'(backend scoring)'!$A$2:$A$333,"")</f>
        <v/>
      </c>
      <c r="J234" s="210" t="str">
        <f>IFERROR(VLOOKUP($I234,'Institution Evaluation'!$A$55:$F$346,2,0),IFERROR(VLOOKUP($I234,'Privacy Analyst Evaluation'!$A$46:$F$120,2,0),""))</f>
        <v/>
      </c>
      <c r="K234" s="210" t="str">
        <f>IFERROR(VLOOKUP($I234,'Institution Evaluation'!$A$55:$F$346,3,0),IFERROR(VLOOKUP($I234,'Privacy Analyst Evaluation'!$A$46:$F$120,3,0),""))&amp;""</f>
        <v/>
      </c>
      <c r="L234" s="210" t="str">
        <f>IFERROR(VLOOKUP($I234,'Institution Evaluation'!$A$55:$F$346,4,0),IFERROR(VLOOKUP($I234,'Privacy Analyst Evaluation'!$A$46:$F$120,4,0),""))&amp;""</f>
        <v/>
      </c>
      <c r="M234" s="210"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2">
      <c r="A235" s="210" t="str">
        <f>IFERROR(IF($A234+1&gt;'(backend scoring)'!$T$335,"",$A234+1),"")</f>
        <v/>
      </c>
      <c r="B235" s="210" t="str">
        <f>_xlfn.XLOOKUP($A235,'(backend scoring)'!$V$2:$V$333,'(backend scoring)'!$A$2:$A$333,"")</f>
        <v/>
      </c>
      <c r="C235" s="210" t="str">
        <f>IFERROR(VLOOKUP($B235,'Institution Evaluation'!$A$55:$F$346,2,0),IFERROR(VLOOKUP($B235,'Privacy Analyst Evaluation'!$A$46:$F$120,2,0),""))&amp;""</f>
        <v/>
      </c>
      <c r="D235" s="210" t="str">
        <f>IFERROR(VLOOKUP($B235,'Institution Evaluation'!$A$55:$F$346,3,0),IFERROR(VLOOKUP($B235,'Privacy Analyst Evaluation'!$A$46:$F$120,3,0),""))&amp;""</f>
        <v/>
      </c>
      <c r="E235" s="210" t="str">
        <f>IFERROR(VLOOKUP($B235,'Institution Evaluation'!$A$55:$F$346,4,0),IFERROR(VLOOKUP($B235,'Privacy Analyst Evaluation'!$A$46:$F$120,4,0),""))&amp;""</f>
        <v/>
      </c>
      <c r="F235" s="210" t="str">
        <f>IFERROR(VLOOKUP($B235,'Institution Evaluation'!$A$55:$F$346,6,0),IFERROR(VLOOKUP($B235,'Privacy Analyst Evaluation'!$A$46:$F$120,6,0),""))&amp;""</f>
        <v/>
      </c>
      <c r="G235" s="211"/>
      <c r="H235" s="210" t="str">
        <f>IFERROR(IF($H234+1&gt;'(backend scoring)'!$Q$335,"",$H234+1),"")</f>
        <v/>
      </c>
      <c r="I235" s="210" t="str">
        <f>_xlfn.XLOOKUP($H235,'(backend scoring)'!$S$2:$S$333,'(backend scoring)'!$A$2:$A$333,"")</f>
        <v/>
      </c>
      <c r="J235" s="210" t="str">
        <f>IFERROR(VLOOKUP($I235,'Institution Evaluation'!$A$55:$F$346,2,0),IFERROR(VLOOKUP($I235,'Privacy Analyst Evaluation'!$A$46:$F$120,2,0),""))</f>
        <v/>
      </c>
      <c r="K235" s="210" t="str">
        <f>IFERROR(VLOOKUP($I235,'Institution Evaluation'!$A$55:$F$346,3,0),IFERROR(VLOOKUP($I235,'Privacy Analyst Evaluation'!$A$46:$F$120,3,0),""))&amp;""</f>
        <v/>
      </c>
      <c r="L235" s="210" t="str">
        <f>IFERROR(VLOOKUP($I235,'Institution Evaluation'!$A$55:$F$346,4,0),IFERROR(VLOOKUP($I235,'Privacy Analyst Evaluation'!$A$46:$F$120,4,0),""))&amp;""</f>
        <v/>
      </c>
      <c r="M235" s="210"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2">
      <c r="A236" s="210" t="str">
        <f>IFERROR(IF($A235+1&gt;'(backend scoring)'!$T$335,"",$A235+1),"")</f>
        <v/>
      </c>
      <c r="B236" s="210" t="str">
        <f>_xlfn.XLOOKUP($A236,'(backend scoring)'!$V$2:$V$333,'(backend scoring)'!$A$2:$A$333,"")</f>
        <v/>
      </c>
      <c r="C236" s="210" t="str">
        <f>IFERROR(VLOOKUP($B236,'Institution Evaluation'!$A$55:$F$346,2,0),IFERROR(VLOOKUP($B236,'Privacy Analyst Evaluation'!$A$46:$F$120,2,0),""))&amp;""</f>
        <v/>
      </c>
      <c r="D236" s="210" t="str">
        <f>IFERROR(VLOOKUP($B236,'Institution Evaluation'!$A$55:$F$346,3,0),IFERROR(VLOOKUP($B236,'Privacy Analyst Evaluation'!$A$46:$F$120,3,0),""))&amp;""</f>
        <v/>
      </c>
      <c r="E236" s="210" t="str">
        <f>IFERROR(VLOOKUP($B236,'Institution Evaluation'!$A$55:$F$346,4,0),IFERROR(VLOOKUP($B236,'Privacy Analyst Evaluation'!$A$46:$F$120,4,0),""))&amp;""</f>
        <v/>
      </c>
      <c r="F236" s="210" t="str">
        <f>IFERROR(VLOOKUP($B236,'Institution Evaluation'!$A$55:$F$346,6,0),IFERROR(VLOOKUP($B236,'Privacy Analyst Evaluation'!$A$46:$F$120,6,0),""))&amp;""</f>
        <v/>
      </c>
      <c r="G236" s="211"/>
      <c r="H236" s="210" t="str">
        <f>IFERROR(IF($H235+1&gt;'(backend scoring)'!$Q$335,"",$H235+1),"")</f>
        <v/>
      </c>
      <c r="I236" s="210" t="str">
        <f>_xlfn.XLOOKUP($H236,'(backend scoring)'!$S$2:$S$333,'(backend scoring)'!$A$2:$A$333,"")</f>
        <v/>
      </c>
      <c r="J236" s="210" t="str">
        <f>IFERROR(VLOOKUP($I236,'Institution Evaluation'!$A$55:$F$346,2,0),IFERROR(VLOOKUP($I236,'Privacy Analyst Evaluation'!$A$46:$F$120,2,0),""))</f>
        <v/>
      </c>
      <c r="K236" s="210" t="str">
        <f>IFERROR(VLOOKUP($I236,'Institution Evaluation'!$A$55:$F$346,3,0),IFERROR(VLOOKUP($I236,'Privacy Analyst Evaluation'!$A$46:$F$120,3,0),""))&amp;""</f>
        <v/>
      </c>
      <c r="L236" s="210" t="str">
        <f>IFERROR(VLOOKUP($I236,'Institution Evaluation'!$A$55:$F$346,4,0),IFERROR(VLOOKUP($I236,'Privacy Analyst Evaluation'!$A$46:$F$120,4,0),""))&amp;""</f>
        <v/>
      </c>
      <c r="M236" s="210"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2">
      <c r="A237" s="210" t="str">
        <f>IFERROR(IF($A236+1&gt;'(backend scoring)'!$T$335,"",$A236+1),"")</f>
        <v/>
      </c>
      <c r="B237" s="210" t="str">
        <f>_xlfn.XLOOKUP($A237,'(backend scoring)'!$V$2:$V$333,'(backend scoring)'!$A$2:$A$333,"")</f>
        <v/>
      </c>
      <c r="C237" s="210" t="str">
        <f>IFERROR(VLOOKUP($B237,'Institution Evaluation'!$A$55:$F$346,2,0),IFERROR(VLOOKUP($B237,'Privacy Analyst Evaluation'!$A$46:$F$120,2,0),""))&amp;""</f>
        <v/>
      </c>
      <c r="D237" s="210" t="str">
        <f>IFERROR(VLOOKUP($B237,'Institution Evaluation'!$A$55:$F$346,3,0),IFERROR(VLOOKUP($B237,'Privacy Analyst Evaluation'!$A$46:$F$120,3,0),""))&amp;""</f>
        <v/>
      </c>
      <c r="E237" s="210" t="str">
        <f>IFERROR(VLOOKUP($B237,'Institution Evaluation'!$A$55:$F$346,4,0),IFERROR(VLOOKUP($B237,'Privacy Analyst Evaluation'!$A$46:$F$120,4,0),""))&amp;""</f>
        <v/>
      </c>
      <c r="F237" s="210" t="str">
        <f>IFERROR(VLOOKUP($B237,'Institution Evaluation'!$A$55:$F$346,6,0),IFERROR(VLOOKUP($B237,'Privacy Analyst Evaluation'!$A$46:$F$120,6,0),""))&amp;""</f>
        <v/>
      </c>
      <c r="G237" s="211"/>
      <c r="H237" s="210" t="str">
        <f>IFERROR(IF($H236+1&gt;'(backend scoring)'!$Q$335,"",$H236+1),"")</f>
        <v/>
      </c>
      <c r="I237" s="210" t="str">
        <f>_xlfn.XLOOKUP($H237,'(backend scoring)'!$S$2:$S$333,'(backend scoring)'!$A$2:$A$333,"")</f>
        <v/>
      </c>
      <c r="J237" s="210" t="str">
        <f>IFERROR(VLOOKUP($I237,'Institution Evaluation'!$A$55:$F$346,2,0),IFERROR(VLOOKUP($I237,'Privacy Analyst Evaluation'!$A$46:$F$120,2,0),""))</f>
        <v/>
      </c>
      <c r="K237" s="210" t="str">
        <f>IFERROR(VLOOKUP($I237,'Institution Evaluation'!$A$55:$F$346,3,0),IFERROR(VLOOKUP($I237,'Privacy Analyst Evaluation'!$A$46:$F$120,3,0),""))&amp;""</f>
        <v/>
      </c>
      <c r="L237" s="210" t="str">
        <f>IFERROR(VLOOKUP($I237,'Institution Evaluation'!$A$55:$F$346,4,0),IFERROR(VLOOKUP($I237,'Privacy Analyst Evaluation'!$A$46:$F$120,4,0),""))&amp;""</f>
        <v/>
      </c>
      <c r="M237" s="210"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2">
      <c r="A238" s="210" t="str">
        <f>IFERROR(IF($A237+1&gt;'(backend scoring)'!$T$335,"",$A237+1),"")</f>
        <v/>
      </c>
      <c r="B238" s="210" t="str">
        <f>_xlfn.XLOOKUP($A238,'(backend scoring)'!$V$2:$V$333,'(backend scoring)'!$A$2:$A$333,"")</f>
        <v/>
      </c>
      <c r="C238" s="210" t="str">
        <f>IFERROR(VLOOKUP($B238,'Institution Evaluation'!$A$55:$F$346,2,0),IFERROR(VLOOKUP($B238,'Privacy Analyst Evaluation'!$A$46:$F$120,2,0),""))&amp;""</f>
        <v/>
      </c>
      <c r="D238" s="210" t="str">
        <f>IFERROR(VLOOKUP($B238,'Institution Evaluation'!$A$55:$F$346,3,0),IFERROR(VLOOKUP($B238,'Privacy Analyst Evaluation'!$A$46:$F$120,3,0),""))&amp;""</f>
        <v/>
      </c>
      <c r="E238" s="210" t="str">
        <f>IFERROR(VLOOKUP($B238,'Institution Evaluation'!$A$55:$F$346,4,0),IFERROR(VLOOKUP($B238,'Privacy Analyst Evaluation'!$A$46:$F$120,4,0),""))&amp;""</f>
        <v/>
      </c>
      <c r="F238" s="210" t="str">
        <f>IFERROR(VLOOKUP($B238,'Institution Evaluation'!$A$55:$F$346,6,0),IFERROR(VLOOKUP($B238,'Privacy Analyst Evaluation'!$A$46:$F$120,6,0),""))&amp;""</f>
        <v/>
      </c>
      <c r="G238" s="211"/>
      <c r="H238" s="210" t="str">
        <f>IFERROR(IF($H237+1&gt;'(backend scoring)'!$Q$335,"",$H237+1),"")</f>
        <v/>
      </c>
      <c r="I238" s="210" t="str">
        <f>_xlfn.XLOOKUP($H238,'(backend scoring)'!$S$2:$S$333,'(backend scoring)'!$A$2:$A$333,"")</f>
        <v/>
      </c>
      <c r="J238" s="210" t="str">
        <f>IFERROR(VLOOKUP($I238,'Institution Evaluation'!$A$55:$F$346,2,0),IFERROR(VLOOKUP($I238,'Privacy Analyst Evaluation'!$A$46:$F$120,2,0),""))</f>
        <v/>
      </c>
      <c r="K238" s="210" t="str">
        <f>IFERROR(VLOOKUP($I238,'Institution Evaluation'!$A$55:$F$346,3,0),IFERROR(VLOOKUP($I238,'Privacy Analyst Evaluation'!$A$46:$F$120,3,0),""))&amp;""</f>
        <v/>
      </c>
      <c r="L238" s="210" t="str">
        <f>IFERROR(VLOOKUP($I238,'Institution Evaluation'!$A$55:$F$346,4,0),IFERROR(VLOOKUP($I238,'Privacy Analyst Evaluation'!$A$46:$F$120,4,0),""))&amp;""</f>
        <v/>
      </c>
      <c r="M238" s="210"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2">
      <c r="A239" s="210" t="str">
        <f>IFERROR(IF($A238+1&gt;'(backend scoring)'!$T$335,"",$A238+1),"")</f>
        <v/>
      </c>
      <c r="B239" s="210" t="str">
        <f>_xlfn.XLOOKUP($A239,'(backend scoring)'!$V$2:$V$333,'(backend scoring)'!$A$2:$A$333,"")</f>
        <v/>
      </c>
      <c r="C239" s="210" t="str">
        <f>IFERROR(VLOOKUP($B239,'Institution Evaluation'!$A$55:$F$346,2,0),IFERROR(VLOOKUP($B239,'Privacy Analyst Evaluation'!$A$46:$F$120,2,0),""))&amp;""</f>
        <v/>
      </c>
      <c r="D239" s="210" t="str">
        <f>IFERROR(VLOOKUP($B239,'Institution Evaluation'!$A$55:$F$346,3,0),IFERROR(VLOOKUP($B239,'Privacy Analyst Evaluation'!$A$46:$F$120,3,0),""))&amp;""</f>
        <v/>
      </c>
      <c r="E239" s="210" t="str">
        <f>IFERROR(VLOOKUP($B239,'Institution Evaluation'!$A$55:$F$346,4,0),IFERROR(VLOOKUP($B239,'Privacy Analyst Evaluation'!$A$46:$F$120,4,0),""))&amp;""</f>
        <v/>
      </c>
      <c r="F239" s="210" t="str">
        <f>IFERROR(VLOOKUP($B239,'Institution Evaluation'!$A$55:$F$346,6,0),IFERROR(VLOOKUP($B239,'Privacy Analyst Evaluation'!$A$46:$F$120,6,0),""))&amp;""</f>
        <v/>
      </c>
      <c r="G239" s="211"/>
      <c r="H239" s="210" t="str">
        <f>IFERROR(IF($H238+1&gt;'(backend scoring)'!$Q$335,"",$H238+1),"")</f>
        <v/>
      </c>
      <c r="I239" s="210" t="str">
        <f>_xlfn.XLOOKUP($H239,'(backend scoring)'!$S$2:$S$333,'(backend scoring)'!$A$2:$A$333,"")</f>
        <v/>
      </c>
      <c r="J239" s="210" t="str">
        <f>IFERROR(VLOOKUP($I239,'Institution Evaluation'!$A$55:$F$346,2,0),IFERROR(VLOOKUP($I239,'Privacy Analyst Evaluation'!$A$46:$F$120,2,0),""))</f>
        <v/>
      </c>
      <c r="K239" s="210" t="str">
        <f>IFERROR(VLOOKUP($I239,'Institution Evaluation'!$A$55:$F$346,3,0),IFERROR(VLOOKUP($I239,'Privacy Analyst Evaluation'!$A$46:$F$120,3,0),""))&amp;""</f>
        <v/>
      </c>
      <c r="L239" s="210" t="str">
        <f>IFERROR(VLOOKUP($I239,'Institution Evaluation'!$A$55:$F$346,4,0),IFERROR(VLOOKUP($I239,'Privacy Analyst Evaluation'!$A$46:$F$120,4,0),""))&amp;""</f>
        <v/>
      </c>
      <c r="M239" s="210"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2">
      <c r="A240" s="210" t="str">
        <f>IFERROR(IF($A239+1&gt;'(backend scoring)'!$T$335,"",$A239+1),"")</f>
        <v/>
      </c>
      <c r="B240" s="210" t="str">
        <f>_xlfn.XLOOKUP($A240,'(backend scoring)'!$V$2:$V$333,'(backend scoring)'!$A$2:$A$333,"")</f>
        <v/>
      </c>
      <c r="C240" s="210" t="str">
        <f>IFERROR(VLOOKUP($B240,'Institution Evaluation'!$A$55:$F$346,2,0),IFERROR(VLOOKUP($B240,'Privacy Analyst Evaluation'!$A$46:$F$120,2,0),""))&amp;""</f>
        <v/>
      </c>
      <c r="D240" s="210" t="str">
        <f>IFERROR(VLOOKUP($B240,'Institution Evaluation'!$A$55:$F$346,3,0),IFERROR(VLOOKUP($B240,'Privacy Analyst Evaluation'!$A$46:$F$120,3,0),""))&amp;""</f>
        <v/>
      </c>
      <c r="E240" s="210" t="str">
        <f>IFERROR(VLOOKUP($B240,'Institution Evaluation'!$A$55:$F$346,4,0),IFERROR(VLOOKUP($B240,'Privacy Analyst Evaluation'!$A$46:$F$120,4,0),""))&amp;""</f>
        <v/>
      </c>
      <c r="F240" s="210" t="str">
        <f>IFERROR(VLOOKUP($B240,'Institution Evaluation'!$A$55:$F$346,6,0),IFERROR(VLOOKUP($B240,'Privacy Analyst Evaluation'!$A$46:$F$120,6,0),""))&amp;""</f>
        <v/>
      </c>
      <c r="G240" s="211"/>
      <c r="H240" s="210" t="str">
        <f>IFERROR(IF($H239+1&gt;'(backend scoring)'!$Q$335,"",$H239+1),"")</f>
        <v/>
      </c>
      <c r="I240" s="210" t="str">
        <f>_xlfn.XLOOKUP($H240,'(backend scoring)'!$S$2:$S$333,'(backend scoring)'!$A$2:$A$333,"")</f>
        <v/>
      </c>
      <c r="J240" s="210" t="str">
        <f>IFERROR(VLOOKUP($I240,'Institution Evaluation'!$A$55:$F$346,2,0),IFERROR(VLOOKUP($I240,'Privacy Analyst Evaluation'!$A$46:$F$120,2,0),""))</f>
        <v/>
      </c>
      <c r="K240" s="210" t="str">
        <f>IFERROR(VLOOKUP($I240,'Institution Evaluation'!$A$55:$F$346,3,0),IFERROR(VLOOKUP($I240,'Privacy Analyst Evaluation'!$A$46:$F$120,3,0),""))&amp;""</f>
        <v/>
      </c>
      <c r="L240" s="210" t="str">
        <f>IFERROR(VLOOKUP($I240,'Institution Evaluation'!$A$55:$F$346,4,0),IFERROR(VLOOKUP($I240,'Privacy Analyst Evaluation'!$A$46:$F$120,4,0),""))&amp;""</f>
        <v/>
      </c>
      <c r="M240" s="210"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2">
      <c r="A241" s="210" t="str">
        <f>IFERROR(IF($A240+1&gt;'(backend scoring)'!$T$335,"",$A240+1),"")</f>
        <v/>
      </c>
      <c r="B241" s="210" t="str">
        <f>_xlfn.XLOOKUP($A241,'(backend scoring)'!$V$2:$V$333,'(backend scoring)'!$A$2:$A$333,"")</f>
        <v/>
      </c>
      <c r="C241" s="210" t="str">
        <f>IFERROR(VLOOKUP($B241,'Institution Evaluation'!$A$55:$F$346,2,0),IFERROR(VLOOKUP($B241,'Privacy Analyst Evaluation'!$A$46:$F$120,2,0),""))&amp;""</f>
        <v/>
      </c>
      <c r="D241" s="210" t="str">
        <f>IFERROR(VLOOKUP($B241,'Institution Evaluation'!$A$55:$F$346,3,0),IFERROR(VLOOKUP($B241,'Privacy Analyst Evaluation'!$A$46:$F$120,3,0),""))&amp;""</f>
        <v/>
      </c>
      <c r="E241" s="210" t="str">
        <f>IFERROR(VLOOKUP($B241,'Institution Evaluation'!$A$55:$F$346,4,0),IFERROR(VLOOKUP($B241,'Privacy Analyst Evaluation'!$A$46:$F$120,4,0),""))&amp;""</f>
        <v/>
      </c>
      <c r="F241" s="210" t="str">
        <f>IFERROR(VLOOKUP($B241,'Institution Evaluation'!$A$55:$F$346,6,0),IFERROR(VLOOKUP($B241,'Privacy Analyst Evaluation'!$A$46:$F$120,6,0),""))&amp;""</f>
        <v/>
      </c>
      <c r="G241" s="211"/>
      <c r="H241" s="210" t="str">
        <f>IFERROR(IF($H240+1&gt;'(backend scoring)'!$Q$335,"",$H240+1),"")</f>
        <v/>
      </c>
      <c r="I241" s="210" t="str">
        <f>_xlfn.XLOOKUP($H241,'(backend scoring)'!$S$2:$S$333,'(backend scoring)'!$A$2:$A$333,"")</f>
        <v/>
      </c>
      <c r="J241" s="210" t="str">
        <f>IFERROR(VLOOKUP($I241,'Institution Evaluation'!$A$55:$F$346,2,0),IFERROR(VLOOKUP($I241,'Privacy Analyst Evaluation'!$A$46:$F$120,2,0),""))</f>
        <v/>
      </c>
      <c r="K241" s="210" t="str">
        <f>IFERROR(VLOOKUP($I241,'Institution Evaluation'!$A$55:$F$346,3,0),IFERROR(VLOOKUP($I241,'Privacy Analyst Evaluation'!$A$46:$F$120,3,0),""))&amp;""</f>
        <v/>
      </c>
      <c r="L241" s="210" t="str">
        <f>IFERROR(VLOOKUP($I241,'Institution Evaluation'!$A$55:$F$346,4,0),IFERROR(VLOOKUP($I241,'Privacy Analyst Evaluation'!$A$46:$F$120,4,0),""))&amp;""</f>
        <v/>
      </c>
      <c r="M241" s="210"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2">
      <c r="A242" s="210" t="str">
        <f>IFERROR(IF($A241+1&gt;'(backend scoring)'!$T$335,"",$A241+1),"")</f>
        <v/>
      </c>
      <c r="B242" s="210" t="str">
        <f>_xlfn.XLOOKUP($A242,'(backend scoring)'!$V$2:$V$333,'(backend scoring)'!$A$2:$A$333,"")</f>
        <v/>
      </c>
      <c r="C242" s="210" t="str">
        <f>IFERROR(VLOOKUP($B242,'Institution Evaluation'!$A$55:$F$346,2,0),IFERROR(VLOOKUP($B242,'Privacy Analyst Evaluation'!$A$46:$F$120,2,0),""))&amp;""</f>
        <v/>
      </c>
      <c r="D242" s="210" t="str">
        <f>IFERROR(VLOOKUP($B242,'Institution Evaluation'!$A$55:$F$346,3,0),IFERROR(VLOOKUP($B242,'Privacy Analyst Evaluation'!$A$46:$F$120,3,0),""))&amp;""</f>
        <v/>
      </c>
      <c r="E242" s="210" t="str">
        <f>IFERROR(VLOOKUP($B242,'Institution Evaluation'!$A$55:$F$346,4,0),IFERROR(VLOOKUP($B242,'Privacy Analyst Evaluation'!$A$46:$F$120,4,0),""))&amp;""</f>
        <v/>
      </c>
      <c r="F242" s="210" t="str">
        <f>IFERROR(VLOOKUP($B242,'Institution Evaluation'!$A$55:$F$346,6,0),IFERROR(VLOOKUP($B242,'Privacy Analyst Evaluation'!$A$46:$F$120,6,0),""))&amp;""</f>
        <v/>
      </c>
      <c r="G242" s="211"/>
      <c r="H242" s="210" t="str">
        <f>IFERROR(IF($H241+1&gt;'(backend scoring)'!$Q$335,"",$H241+1),"")</f>
        <v/>
      </c>
      <c r="I242" s="210" t="str">
        <f>_xlfn.XLOOKUP($H242,'(backend scoring)'!$S$2:$S$333,'(backend scoring)'!$A$2:$A$333,"")</f>
        <v/>
      </c>
      <c r="J242" s="210" t="str">
        <f>IFERROR(VLOOKUP($I242,'Institution Evaluation'!$A$55:$F$346,2,0),IFERROR(VLOOKUP($I242,'Privacy Analyst Evaluation'!$A$46:$F$120,2,0),""))</f>
        <v/>
      </c>
      <c r="K242" s="210" t="str">
        <f>IFERROR(VLOOKUP($I242,'Institution Evaluation'!$A$55:$F$346,3,0),IFERROR(VLOOKUP($I242,'Privacy Analyst Evaluation'!$A$46:$F$120,3,0),""))&amp;""</f>
        <v/>
      </c>
      <c r="L242" s="210" t="str">
        <f>IFERROR(VLOOKUP($I242,'Institution Evaluation'!$A$55:$F$346,4,0),IFERROR(VLOOKUP($I242,'Privacy Analyst Evaluation'!$A$46:$F$120,4,0),""))&amp;""</f>
        <v/>
      </c>
      <c r="M242" s="210"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2">
      <c r="A243" s="210" t="str">
        <f>IFERROR(IF($A242+1&gt;'(backend scoring)'!$T$335,"",$A242+1),"")</f>
        <v/>
      </c>
      <c r="B243" s="210" t="str">
        <f>_xlfn.XLOOKUP($A243,'(backend scoring)'!$V$2:$V$333,'(backend scoring)'!$A$2:$A$333,"")</f>
        <v/>
      </c>
      <c r="C243" s="210" t="str">
        <f>IFERROR(VLOOKUP($B243,'Institution Evaluation'!$A$55:$F$346,2,0),IFERROR(VLOOKUP($B243,'Privacy Analyst Evaluation'!$A$46:$F$120,2,0),""))&amp;""</f>
        <v/>
      </c>
      <c r="D243" s="210" t="str">
        <f>IFERROR(VLOOKUP($B243,'Institution Evaluation'!$A$55:$F$346,3,0),IFERROR(VLOOKUP($B243,'Privacy Analyst Evaluation'!$A$46:$F$120,3,0),""))&amp;""</f>
        <v/>
      </c>
      <c r="E243" s="210" t="str">
        <f>IFERROR(VLOOKUP($B243,'Institution Evaluation'!$A$55:$F$346,4,0),IFERROR(VLOOKUP($B243,'Privacy Analyst Evaluation'!$A$46:$F$120,4,0),""))&amp;""</f>
        <v/>
      </c>
      <c r="F243" s="210" t="str">
        <f>IFERROR(VLOOKUP($B243,'Institution Evaluation'!$A$55:$F$346,6,0),IFERROR(VLOOKUP($B243,'Privacy Analyst Evaluation'!$A$46:$F$120,6,0),""))&amp;""</f>
        <v/>
      </c>
      <c r="G243" s="211"/>
      <c r="H243" s="210" t="str">
        <f>IFERROR(IF($H242+1&gt;'(backend scoring)'!$Q$335,"",$H242+1),"")</f>
        <v/>
      </c>
      <c r="I243" s="210" t="str">
        <f>_xlfn.XLOOKUP($H243,'(backend scoring)'!$S$2:$S$333,'(backend scoring)'!$A$2:$A$333,"")</f>
        <v/>
      </c>
      <c r="J243" s="210" t="str">
        <f>IFERROR(VLOOKUP($I243,'Institution Evaluation'!$A$55:$F$346,2,0),IFERROR(VLOOKUP($I243,'Privacy Analyst Evaluation'!$A$46:$F$120,2,0),""))</f>
        <v/>
      </c>
      <c r="K243" s="210" t="str">
        <f>IFERROR(VLOOKUP($I243,'Institution Evaluation'!$A$55:$F$346,3,0),IFERROR(VLOOKUP($I243,'Privacy Analyst Evaluation'!$A$46:$F$120,3,0),""))&amp;""</f>
        <v/>
      </c>
      <c r="L243" s="210" t="str">
        <f>IFERROR(VLOOKUP($I243,'Institution Evaluation'!$A$55:$F$346,4,0),IFERROR(VLOOKUP($I243,'Privacy Analyst Evaluation'!$A$46:$F$120,4,0),""))&amp;""</f>
        <v/>
      </c>
      <c r="M243" s="210"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2">
      <c r="A244" s="210" t="str">
        <f>IFERROR(IF($A243+1&gt;'(backend scoring)'!$T$335,"",$A243+1),"")</f>
        <v/>
      </c>
      <c r="B244" s="210" t="str">
        <f>_xlfn.XLOOKUP($A244,'(backend scoring)'!$V$2:$V$333,'(backend scoring)'!$A$2:$A$333,"")</f>
        <v/>
      </c>
      <c r="C244" s="210" t="str">
        <f>IFERROR(VLOOKUP($B244,'Institution Evaluation'!$A$55:$F$346,2,0),IFERROR(VLOOKUP($B244,'Privacy Analyst Evaluation'!$A$46:$F$120,2,0),""))&amp;""</f>
        <v/>
      </c>
      <c r="D244" s="210" t="str">
        <f>IFERROR(VLOOKUP($B244,'Institution Evaluation'!$A$55:$F$346,3,0),IFERROR(VLOOKUP($B244,'Privacy Analyst Evaluation'!$A$46:$F$120,3,0),""))&amp;""</f>
        <v/>
      </c>
      <c r="E244" s="210" t="str">
        <f>IFERROR(VLOOKUP($B244,'Institution Evaluation'!$A$55:$F$346,4,0),IFERROR(VLOOKUP($B244,'Privacy Analyst Evaluation'!$A$46:$F$120,4,0),""))&amp;""</f>
        <v/>
      </c>
      <c r="F244" s="210" t="str">
        <f>IFERROR(VLOOKUP($B244,'Institution Evaluation'!$A$55:$F$346,6,0),IFERROR(VLOOKUP($B244,'Privacy Analyst Evaluation'!$A$46:$F$120,6,0),""))&amp;""</f>
        <v/>
      </c>
      <c r="G244" s="211"/>
      <c r="H244" s="210" t="str">
        <f>IFERROR(IF($H243+1&gt;'(backend scoring)'!$Q$335,"",$H243+1),"")</f>
        <v/>
      </c>
      <c r="I244" s="210" t="str">
        <f>_xlfn.XLOOKUP($H244,'(backend scoring)'!$S$2:$S$333,'(backend scoring)'!$A$2:$A$333,"")</f>
        <v/>
      </c>
      <c r="J244" s="210" t="str">
        <f>IFERROR(VLOOKUP($I244,'Institution Evaluation'!$A$55:$F$346,2,0),IFERROR(VLOOKUP($I244,'Privacy Analyst Evaluation'!$A$46:$F$120,2,0),""))</f>
        <v/>
      </c>
      <c r="K244" s="210" t="str">
        <f>IFERROR(VLOOKUP($I244,'Institution Evaluation'!$A$55:$F$346,3,0),IFERROR(VLOOKUP($I244,'Privacy Analyst Evaluation'!$A$46:$F$120,3,0),""))&amp;""</f>
        <v/>
      </c>
      <c r="L244" s="210" t="str">
        <f>IFERROR(VLOOKUP($I244,'Institution Evaluation'!$A$55:$F$346,4,0),IFERROR(VLOOKUP($I244,'Privacy Analyst Evaluation'!$A$46:$F$120,4,0),""))&amp;""</f>
        <v/>
      </c>
      <c r="M244" s="210"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2">
      <c r="A245" s="210" t="str">
        <f>IFERROR(IF($A244+1&gt;'(backend scoring)'!$T$335,"",$A244+1),"")</f>
        <v/>
      </c>
      <c r="B245" s="210" t="str">
        <f>_xlfn.XLOOKUP($A245,'(backend scoring)'!$V$2:$V$333,'(backend scoring)'!$A$2:$A$333,"")</f>
        <v/>
      </c>
      <c r="C245" s="210" t="str">
        <f>IFERROR(VLOOKUP($B245,'Institution Evaluation'!$A$55:$F$346,2,0),IFERROR(VLOOKUP($B245,'Privacy Analyst Evaluation'!$A$46:$F$120,2,0),""))&amp;""</f>
        <v/>
      </c>
      <c r="D245" s="210" t="str">
        <f>IFERROR(VLOOKUP($B245,'Institution Evaluation'!$A$55:$F$346,3,0),IFERROR(VLOOKUP($B245,'Privacy Analyst Evaluation'!$A$46:$F$120,3,0),""))&amp;""</f>
        <v/>
      </c>
      <c r="E245" s="210" t="str">
        <f>IFERROR(VLOOKUP($B245,'Institution Evaluation'!$A$55:$F$346,4,0),IFERROR(VLOOKUP($B245,'Privacy Analyst Evaluation'!$A$46:$F$120,4,0),""))&amp;""</f>
        <v/>
      </c>
      <c r="F245" s="210" t="str">
        <f>IFERROR(VLOOKUP($B245,'Institution Evaluation'!$A$55:$F$346,6,0),IFERROR(VLOOKUP($B245,'Privacy Analyst Evaluation'!$A$46:$F$120,6,0),""))&amp;""</f>
        <v/>
      </c>
      <c r="G245" s="211"/>
      <c r="H245" s="210" t="str">
        <f>IFERROR(IF($H244+1&gt;'(backend scoring)'!$Q$335,"",$H244+1),"")</f>
        <v/>
      </c>
      <c r="I245" s="210" t="str">
        <f>_xlfn.XLOOKUP($H245,'(backend scoring)'!$S$2:$S$333,'(backend scoring)'!$A$2:$A$333,"")</f>
        <v/>
      </c>
      <c r="J245" s="210" t="str">
        <f>IFERROR(VLOOKUP($I245,'Institution Evaluation'!$A$55:$F$346,2,0),IFERROR(VLOOKUP($I245,'Privacy Analyst Evaluation'!$A$46:$F$120,2,0),""))</f>
        <v/>
      </c>
      <c r="K245" s="210" t="str">
        <f>IFERROR(VLOOKUP($I245,'Institution Evaluation'!$A$55:$F$346,3,0),IFERROR(VLOOKUP($I245,'Privacy Analyst Evaluation'!$A$46:$F$120,3,0),""))&amp;""</f>
        <v/>
      </c>
      <c r="L245" s="210" t="str">
        <f>IFERROR(VLOOKUP($I245,'Institution Evaluation'!$A$55:$F$346,4,0),IFERROR(VLOOKUP($I245,'Privacy Analyst Evaluation'!$A$46:$F$120,4,0),""))&amp;""</f>
        <v/>
      </c>
      <c r="M245" s="210"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2">
      <c r="A246" s="210" t="str">
        <f>IFERROR(IF($A245+1&gt;'(backend scoring)'!$T$335,"",$A245+1),"")</f>
        <v/>
      </c>
      <c r="B246" s="210" t="str">
        <f>_xlfn.XLOOKUP($A246,'(backend scoring)'!$V$2:$V$333,'(backend scoring)'!$A$2:$A$333,"")</f>
        <v/>
      </c>
      <c r="C246" s="210" t="str">
        <f>IFERROR(VLOOKUP($B246,'Institution Evaluation'!$A$55:$F$346,2,0),IFERROR(VLOOKUP($B246,'Privacy Analyst Evaluation'!$A$46:$F$120,2,0),""))&amp;""</f>
        <v/>
      </c>
      <c r="D246" s="210" t="str">
        <f>IFERROR(VLOOKUP($B246,'Institution Evaluation'!$A$55:$F$346,3,0),IFERROR(VLOOKUP($B246,'Privacy Analyst Evaluation'!$A$46:$F$120,3,0),""))&amp;""</f>
        <v/>
      </c>
      <c r="E246" s="210" t="str">
        <f>IFERROR(VLOOKUP($B246,'Institution Evaluation'!$A$55:$F$346,4,0),IFERROR(VLOOKUP($B246,'Privacy Analyst Evaluation'!$A$46:$F$120,4,0),""))&amp;""</f>
        <v/>
      </c>
      <c r="F246" s="210" t="str">
        <f>IFERROR(VLOOKUP($B246,'Institution Evaluation'!$A$55:$F$346,6,0),IFERROR(VLOOKUP($B246,'Privacy Analyst Evaluation'!$A$46:$F$120,6,0),""))&amp;""</f>
        <v/>
      </c>
      <c r="G246" s="211"/>
      <c r="H246" s="210" t="str">
        <f>IFERROR(IF($H245+1&gt;'(backend scoring)'!$Q$335,"",$H245+1),"")</f>
        <v/>
      </c>
      <c r="I246" s="210" t="str">
        <f>_xlfn.XLOOKUP($H246,'(backend scoring)'!$S$2:$S$333,'(backend scoring)'!$A$2:$A$333,"")</f>
        <v/>
      </c>
      <c r="J246" s="210" t="str">
        <f>IFERROR(VLOOKUP($I246,'Institution Evaluation'!$A$55:$F$346,2,0),IFERROR(VLOOKUP($I246,'Privacy Analyst Evaluation'!$A$46:$F$120,2,0),""))</f>
        <v/>
      </c>
      <c r="K246" s="210" t="str">
        <f>IFERROR(VLOOKUP($I246,'Institution Evaluation'!$A$55:$F$346,3,0),IFERROR(VLOOKUP($I246,'Privacy Analyst Evaluation'!$A$46:$F$120,3,0),""))&amp;""</f>
        <v/>
      </c>
      <c r="L246" s="210" t="str">
        <f>IFERROR(VLOOKUP($I246,'Institution Evaluation'!$A$55:$F$346,4,0),IFERROR(VLOOKUP($I246,'Privacy Analyst Evaluation'!$A$46:$F$120,4,0),""))&amp;""</f>
        <v/>
      </c>
      <c r="M246" s="210"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2">
      <c r="A247" s="210" t="str">
        <f>IFERROR(IF($A246+1&gt;'(backend scoring)'!$T$335,"",$A246+1),"")</f>
        <v/>
      </c>
      <c r="B247" s="210" t="str">
        <f>_xlfn.XLOOKUP($A247,'(backend scoring)'!$V$2:$V$333,'(backend scoring)'!$A$2:$A$333,"")</f>
        <v/>
      </c>
      <c r="C247" s="210" t="str">
        <f>IFERROR(VLOOKUP($B247,'Institution Evaluation'!$A$55:$F$346,2,0),IFERROR(VLOOKUP($B247,'Privacy Analyst Evaluation'!$A$46:$F$120,2,0),""))&amp;""</f>
        <v/>
      </c>
      <c r="D247" s="210" t="str">
        <f>IFERROR(VLOOKUP($B247,'Institution Evaluation'!$A$55:$F$346,3,0),IFERROR(VLOOKUP($B247,'Privacy Analyst Evaluation'!$A$46:$F$120,3,0),""))&amp;""</f>
        <v/>
      </c>
      <c r="E247" s="210" t="str">
        <f>IFERROR(VLOOKUP($B247,'Institution Evaluation'!$A$55:$F$346,4,0),IFERROR(VLOOKUP($B247,'Privacy Analyst Evaluation'!$A$46:$F$120,4,0),""))&amp;""</f>
        <v/>
      </c>
      <c r="F247" s="210" t="str">
        <f>IFERROR(VLOOKUP($B247,'Institution Evaluation'!$A$55:$F$346,6,0),IFERROR(VLOOKUP($B247,'Privacy Analyst Evaluation'!$A$46:$F$120,6,0),""))&amp;""</f>
        <v/>
      </c>
      <c r="G247" s="211"/>
      <c r="H247" s="210" t="str">
        <f>IFERROR(IF($H246+1&gt;'(backend scoring)'!$Q$335,"",$H246+1),"")</f>
        <v/>
      </c>
      <c r="I247" s="210" t="str">
        <f>_xlfn.XLOOKUP($H247,'(backend scoring)'!$S$2:$S$333,'(backend scoring)'!$A$2:$A$333,"")</f>
        <v/>
      </c>
      <c r="J247" s="210" t="str">
        <f>IFERROR(VLOOKUP($I247,'Institution Evaluation'!$A$55:$F$346,2,0),IFERROR(VLOOKUP($I247,'Privacy Analyst Evaluation'!$A$46:$F$120,2,0),""))</f>
        <v/>
      </c>
      <c r="K247" s="210" t="str">
        <f>IFERROR(VLOOKUP($I247,'Institution Evaluation'!$A$55:$F$346,3,0),IFERROR(VLOOKUP($I247,'Privacy Analyst Evaluation'!$A$46:$F$120,3,0),""))&amp;""</f>
        <v/>
      </c>
      <c r="L247" s="210" t="str">
        <f>IFERROR(VLOOKUP($I247,'Institution Evaluation'!$A$55:$F$346,4,0),IFERROR(VLOOKUP($I247,'Privacy Analyst Evaluation'!$A$46:$F$120,4,0),""))&amp;""</f>
        <v/>
      </c>
      <c r="M247" s="210"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2">
      <c r="A248" s="210" t="str">
        <f>IFERROR(IF($A247+1&gt;'(backend scoring)'!$T$335,"",$A247+1),"")</f>
        <v/>
      </c>
      <c r="B248" s="210" t="str">
        <f>_xlfn.XLOOKUP($A248,'(backend scoring)'!$V$2:$V$333,'(backend scoring)'!$A$2:$A$333,"")</f>
        <v/>
      </c>
      <c r="C248" s="210" t="str">
        <f>IFERROR(VLOOKUP($B248,'Institution Evaluation'!$A$55:$F$346,2,0),IFERROR(VLOOKUP($B248,'Privacy Analyst Evaluation'!$A$46:$F$120,2,0),""))&amp;""</f>
        <v/>
      </c>
      <c r="D248" s="210" t="str">
        <f>IFERROR(VLOOKUP($B248,'Institution Evaluation'!$A$55:$F$346,3,0),IFERROR(VLOOKUP($B248,'Privacy Analyst Evaluation'!$A$46:$F$120,3,0),""))&amp;""</f>
        <v/>
      </c>
      <c r="E248" s="210" t="str">
        <f>IFERROR(VLOOKUP($B248,'Institution Evaluation'!$A$55:$F$346,4,0),IFERROR(VLOOKUP($B248,'Privacy Analyst Evaluation'!$A$46:$F$120,4,0),""))&amp;""</f>
        <v/>
      </c>
      <c r="F248" s="210" t="str">
        <f>IFERROR(VLOOKUP($B248,'Institution Evaluation'!$A$55:$F$346,6,0),IFERROR(VLOOKUP($B248,'Privacy Analyst Evaluation'!$A$46:$F$120,6,0),""))&amp;""</f>
        <v/>
      </c>
      <c r="G248" s="211"/>
      <c r="H248" s="210" t="str">
        <f>IFERROR(IF($H247+1&gt;'(backend scoring)'!$Q$335,"",$H247+1),"")</f>
        <v/>
      </c>
      <c r="I248" s="210" t="str">
        <f>_xlfn.XLOOKUP($H248,'(backend scoring)'!$S$2:$S$333,'(backend scoring)'!$A$2:$A$333,"")</f>
        <v/>
      </c>
      <c r="J248" s="210" t="str">
        <f>IFERROR(VLOOKUP($I248,'Institution Evaluation'!$A$55:$F$346,2,0),IFERROR(VLOOKUP($I248,'Privacy Analyst Evaluation'!$A$46:$F$120,2,0),""))</f>
        <v/>
      </c>
      <c r="K248" s="210" t="str">
        <f>IFERROR(VLOOKUP($I248,'Institution Evaluation'!$A$55:$F$346,3,0),IFERROR(VLOOKUP($I248,'Privacy Analyst Evaluation'!$A$46:$F$120,3,0),""))&amp;""</f>
        <v/>
      </c>
      <c r="L248" s="210" t="str">
        <f>IFERROR(VLOOKUP($I248,'Institution Evaluation'!$A$55:$F$346,4,0),IFERROR(VLOOKUP($I248,'Privacy Analyst Evaluation'!$A$46:$F$120,4,0),""))&amp;""</f>
        <v/>
      </c>
      <c r="M248" s="210"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2">
      <c r="A249" s="210" t="str">
        <f>IFERROR(IF($A248+1&gt;'(backend scoring)'!$T$335,"",$A248+1),"")</f>
        <v/>
      </c>
      <c r="B249" s="210" t="str">
        <f>_xlfn.XLOOKUP($A249,'(backend scoring)'!$V$2:$V$333,'(backend scoring)'!$A$2:$A$333,"")</f>
        <v/>
      </c>
      <c r="C249" s="210" t="str">
        <f>IFERROR(VLOOKUP($B249,'Institution Evaluation'!$A$55:$F$346,2,0),IFERROR(VLOOKUP($B249,'Privacy Analyst Evaluation'!$A$46:$F$120,2,0),""))&amp;""</f>
        <v/>
      </c>
      <c r="D249" s="210" t="str">
        <f>IFERROR(VLOOKUP($B249,'Institution Evaluation'!$A$55:$F$346,3,0),IFERROR(VLOOKUP($B249,'Privacy Analyst Evaluation'!$A$46:$F$120,3,0),""))&amp;""</f>
        <v/>
      </c>
      <c r="E249" s="210" t="str">
        <f>IFERROR(VLOOKUP($B249,'Institution Evaluation'!$A$55:$F$346,4,0),IFERROR(VLOOKUP($B249,'Privacy Analyst Evaluation'!$A$46:$F$120,4,0),""))&amp;""</f>
        <v/>
      </c>
      <c r="F249" s="210" t="str">
        <f>IFERROR(VLOOKUP($B249,'Institution Evaluation'!$A$55:$F$346,6,0),IFERROR(VLOOKUP($B249,'Privacy Analyst Evaluation'!$A$46:$F$120,6,0),""))&amp;""</f>
        <v/>
      </c>
      <c r="G249" s="211"/>
      <c r="H249" s="210" t="str">
        <f>IFERROR(IF($H248+1&gt;'(backend scoring)'!$Q$335,"",$H248+1),"")</f>
        <v/>
      </c>
      <c r="I249" s="210" t="str">
        <f>_xlfn.XLOOKUP($H249,'(backend scoring)'!$S$2:$S$333,'(backend scoring)'!$A$2:$A$333,"")</f>
        <v/>
      </c>
      <c r="J249" s="210" t="str">
        <f>IFERROR(VLOOKUP($I249,'Institution Evaluation'!$A$55:$F$346,2,0),IFERROR(VLOOKUP($I249,'Privacy Analyst Evaluation'!$A$46:$F$120,2,0),""))</f>
        <v/>
      </c>
      <c r="K249" s="210" t="str">
        <f>IFERROR(VLOOKUP($I249,'Institution Evaluation'!$A$55:$F$346,3,0),IFERROR(VLOOKUP($I249,'Privacy Analyst Evaluation'!$A$46:$F$120,3,0),""))&amp;""</f>
        <v/>
      </c>
      <c r="L249" s="210" t="str">
        <f>IFERROR(VLOOKUP($I249,'Institution Evaluation'!$A$55:$F$346,4,0),IFERROR(VLOOKUP($I249,'Privacy Analyst Evaluation'!$A$46:$F$120,4,0),""))&amp;""</f>
        <v/>
      </c>
      <c r="M249" s="210"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2">
      <c r="A250" s="210" t="str">
        <f>IFERROR(IF($A249+1&gt;'(backend scoring)'!$T$335,"",$A249+1),"")</f>
        <v/>
      </c>
      <c r="B250" s="210" t="str">
        <f>_xlfn.XLOOKUP($A250,'(backend scoring)'!$V$2:$V$333,'(backend scoring)'!$A$2:$A$333,"")</f>
        <v/>
      </c>
      <c r="C250" s="210" t="str">
        <f>IFERROR(VLOOKUP($B250,'Institution Evaluation'!$A$55:$F$346,2,0),IFERROR(VLOOKUP($B250,'Privacy Analyst Evaluation'!$A$46:$F$120,2,0),""))&amp;""</f>
        <v/>
      </c>
      <c r="D250" s="210" t="str">
        <f>IFERROR(VLOOKUP($B250,'Institution Evaluation'!$A$55:$F$346,3,0),IFERROR(VLOOKUP($B250,'Privacy Analyst Evaluation'!$A$46:$F$120,3,0),""))&amp;""</f>
        <v/>
      </c>
      <c r="E250" s="210" t="str">
        <f>IFERROR(VLOOKUP($B250,'Institution Evaluation'!$A$55:$F$346,4,0),IFERROR(VLOOKUP($B250,'Privacy Analyst Evaluation'!$A$46:$F$120,4,0),""))&amp;""</f>
        <v/>
      </c>
      <c r="F250" s="210" t="str">
        <f>IFERROR(VLOOKUP($B250,'Institution Evaluation'!$A$55:$F$346,6,0),IFERROR(VLOOKUP($B250,'Privacy Analyst Evaluation'!$A$46:$F$120,6,0),""))&amp;""</f>
        <v/>
      </c>
      <c r="G250" s="211"/>
      <c r="H250" s="210" t="str">
        <f>IFERROR(IF($H249+1&gt;'(backend scoring)'!$Q$335,"",$H249+1),"")</f>
        <v/>
      </c>
      <c r="I250" s="210" t="str">
        <f>_xlfn.XLOOKUP($H250,'(backend scoring)'!$S$2:$S$333,'(backend scoring)'!$A$2:$A$333,"")</f>
        <v/>
      </c>
      <c r="J250" s="210" t="str">
        <f>IFERROR(VLOOKUP($I250,'Institution Evaluation'!$A$55:$F$346,2,0),IFERROR(VLOOKUP($I250,'Privacy Analyst Evaluation'!$A$46:$F$120,2,0),""))</f>
        <v/>
      </c>
      <c r="K250" s="210" t="str">
        <f>IFERROR(VLOOKUP($I250,'Institution Evaluation'!$A$55:$F$346,3,0),IFERROR(VLOOKUP($I250,'Privacy Analyst Evaluation'!$A$46:$F$120,3,0),""))&amp;""</f>
        <v/>
      </c>
      <c r="L250" s="210" t="str">
        <f>IFERROR(VLOOKUP($I250,'Institution Evaluation'!$A$55:$F$346,4,0),IFERROR(VLOOKUP($I250,'Privacy Analyst Evaluation'!$A$46:$F$120,4,0),""))&amp;""</f>
        <v/>
      </c>
      <c r="M250" s="210"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2">
      <c r="A251" s="210" t="str">
        <f>IFERROR(IF($A250+1&gt;'(backend scoring)'!$T$335,"",$A250+1),"")</f>
        <v/>
      </c>
      <c r="B251" s="210" t="str">
        <f>_xlfn.XLOOKUP($A251,'(backend scoring)'!$V$2:$V$333,'(backend scoring)'!$A$2:$A$333,"")</f>
        <v/>
      </c>
      <c r="C251" s="210" t="str">
        <f>IFERROR(VLOOKUP($B251,'Institution Evaluation'!$A$55:$F$346,2,0),IFERROR(VLOOKUP($B251,'Privacy Analyst Evaluation'!$A$46:$F$120,2,0),""))&amp;""</f>
        <v/>
      </c>
      <c r="D251" s="210" t="str">
        <f>IFERROR(VLOOKUP($B251,'Institution Evaluation'!$A$55:$F$346,3,0),IFERROR(VLOOKUP($B251,'Privacy Analyst Evaluation'!$A$46:$F$120,3,0),""))&amp;""</f>
        <v/>
      </c>
      <c r="E251" s="210" t="str">
        <f>IFERROR(VLOOKUP($B251,'Institution Evaluation'!$A$55:$F$346,4,0),IFERROR(VLOOKUP($B251,'Privacy Analyst Evaluation'!$A$46:$F$120,4,0),""))&amp;""</f>
        <v/>
      </c>
      <c r="F251" s="210" t="str">
        <f>IFERROR(VLOOKUP($B251,'Institution Evaluation'!$A$55:$F$346,6,0),IFERROR(VLOOKUP($B251,'Privacy Analyst Evaluation'!$A$46:$F$120,6,0),""))&amp;""</f>
        <v/>
      </c>
      <c r="G251" s="211"/>
      <c r="H251" s="210" t="str">
        <f>IFERROR(IF($H250+1&gt;'(backend scoring)'!$Q$335,"",$H250+1),"")</f>
        <v/>
      </c>
      <c r="I251" s="210" t="str">
        <f>_xlfn.XLOOKUP($H251,'(backend scoring)'!$S$2:$S$333,'(backend scoring)'!$A$2:$A$333,"")</f>
        <v/>
      </c>
      <c r="J251" s="210" t="str">
        <f>IFERROR(VLOOKUP($I251,'Institution Evaluation'!$A$55:$F$346,2,0),IFERROR(VLOOKUP($I251,'Privacy Analyst Evaluation'!$A$46:$F$120,2,0),""))</f>
        <v/>
      </c>
      <c r="K251" s="210" t="str">
        <f>IFERROR(VLOOKUP($I251,'Institution Evaluation'!$A$55:$F$346,3,0),IFERROR(VLOOKUP($I251,'Privacy Analyst Evaluation'!$A$46:$F$120,3,0),""))&amp;""</f>
        <v/>
      </c>
      <c r="L251" s="210" t="str">
        <f>IFERROR(VLOOKUP($I251,'Institution Evaluation'!$A$55:$F$346,4,0),IFERROR(VLOOKUP($I251,'Privacy Analyst Evaluation'!$A$46:$F$120,4,0),""))&amp;""</f>
        <v/>
      </c>
      <c r="M251" s="210"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2">
      <c r="A252" s="210" t="str">
        <f>IFERROR(IF($A251+1&gt;'(backend scoring)'!$T$335,"",$A251+1),"")</f>
        <v/>
      </c>
      <c r="B252" s="210" t="str">
        <f>_xlfn.XLOOKUP($A252,'(backend scoring)'!$V$2:$V$333,'(backend scoring)'!$A$2:$A$333,"")</f>
        <v/>
      </c>
      <c r="C252" s="210" t="str">
        <f>IFERROR(VLOOKUP($B252,'Institution Evaluation'!$A$55:$F$346,2,0),IFERROR(VLOOKUP($B252,'Privacy Analyst Evaluation'!$A$46:$F$120,2,0),""))&amp;""</f>
        <v/>
      </c>
      <c r="D252" s="210" t="str">
        <f>IFERROR(VLOOKUP($B252,'Institution Evaluation'!$A$55:$F$346,3,0),IFERROR(VLOOKUP($B252,'Privacy Analyst Evaluation'!$A$46:$F$120,3,0),""))&amp;""</f>
        <v/>
      </c>
      <c r="E252" s="210" t="str">
        <f>IFERROR(VLOOKUP($B252,'Institution Evaluation'!$A$55:$F$346,4,0),IFERROR(VLOOKUP($B252,'Privacy Analyst Evaluation'!$A$46:$F$120,4,0),""))&amp;""</f>
        <v/>
      </c>
      <c r="F252" s="210" t="str">
        <f>IFERROR(VLOOKUP($B252,'Institution Evaluation'!$A$55:$F$346,6,0),IFERROR(VLOOKUP($B252,'Privacy Analyst Evaluation'!$A$46:$F$120,6,0),""))&amp;""</f>
        <v/>
      </c>
      <c r="G252" s="211"/>
      <c r="H252" s="210" t="str">
        <f>IFERROR(IF($H251+1&gt;'(backend scoring)'!$Q$335,"",$H251+1),"")</f>
        <v/>
      </c>
      <c r="I252" s="210" t="str">
        <f>_xlfn.XLOOKUP($H252,'(backend scoring)'!$S$2:$S$333,'(backend scoring)'!$A$2:$A$333,"")</f>
        <v/>
      </c>
      <c r="J252" s="210" t="str">
        <f>IFERROR(VLOOKUP($I252,'Institution Evaluation'!$A$55:$F$346,2,0),IFERROR(VLOOKUP($I252,'Privacy Analyst Evaluation'!$A$46:$F$120,2,0),""))</f>
        <v/>
      </c>
      <c r="K252" s="210" t="str">
        <f>IFERROR(VLOOKUP($I252,'Institution Evaluation'!$A$55:$F$346,3,0),IFERROR(VLOOKUP($I252,'Privacy Analyst Evaluation'!$A$46:$F$120,3,0),""))&amp;""</f>
        <v/>
      </c>
      <c r="L252" s="210" t="str">
        <f>IFERROR(VLOOKUP($I252,'Institution Evaluation'!$A$55:$F$346,4,0),IFERROR(VLOOKUP($I252,'Privacy Analyst Evaluation'!$A$46:$F$120,4,0),""))&amp;""</f>
        <v/>
      </c>
      <c r="M252" s="210"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2">
      <c r="A253" s="210" t="str">
        <f>IFERROR(IF($A252+1&gt;'(backend scoring)'!$T$335,"",$A252+1),"")</f>
        <v/>
      </c>
      <c r="B253" s="210" t="str">
        <f>_xlfn.XLOOKUP($A253,'(backend scoring)'!$V$2:$V$333,'(backend scoring)'!$A$2:$A$333,"")</f>
        <v/>
      </c>
      <c r="C253" s="210" t="str">
        <f>IFERROR(VLOOKUP($B253,'Institution Evaluation'!$A$55:$F$346,2,0),IFERROR(VLOOKUP($B253,'Privacy Analyst Evaluation'!$A$46:$F$120,2,0),""))&amp;""</f>
        <v/>
      </c>
      <c r="D253" s="210" t="str">
        <f>IFERROR(VLOOKUP($B253,'Institution Evaluation'!$A$55:$F$346,3,0),IFERROR(VLOOKUP($B253,'Privacy Analyst Evaluation'!$A$46:$F$120,3,0),""))&amp;""</f>
        <v/>
      </c>
      <c r="E253" s="210" t="str">
        <f>IFERROR(VLOOKUP($B253,'Institution Evaluation'!$A$55:$F$346,4,0),IFERROR(VLOOKUP($B253,'Privacy Analyst Evaluation'!$A$46:$F$120,4,0),""))&amp;""</f>
        <v/>
      </c>
      <c r="F253" s="210" t="str">
        <f>IFERROR(VLOOKUP($B253,'Institution Evaluation'!$A$55:$F$346,6,0),IFERROR(VLOOKUP($B253,'Privacy Analyst Evaluation'!$A$46:$F$120,6,0),""))&amp;""</f>
        <v/>
      </c>
      <c r="G253" s="211"/>
      <c r="H253" s="210" t="str">
        <f>IFERROR(IF($H252+1&gt;'(backend scoring)'!$Q$335,"",$H252+1),"")</f>
        <v/>
      </c>
      <c r="I253" s="210" t="str">
        <f>_xlfn.XLOOKUP($H253,'(backend scoring)'!$S$2:$S$333,'(backend scoring)'!$A$2:$A$333,"")</f>
        <v/>
      </c>
      <c r="J253" s="210" t="str">
        <f>IFERROR(VLOOKUP($I253,'Institution Evaluation'!$A$55:$F$346,2,0),IFERROR(VLOOKUP($I253,'Privacy Analyst Evaluation'!$A$46:$F$120,2,0),""))</f>
        <v/>
      </c>
      <c r="K253" s="210" t="str">
        <f>IFERROR(VLOOKUP($I253,'Institution Evaluation'!$A$55:$F$346,3,0),IFERROR(VLOOKUP($I253,'Privacy Analyst Evaluation'!$A$46:$F$120,3,0),""))&amp;""</f>
        <v/>
      </c>
      <c r="L253" s="210" t="str">
        <f>IFERROR(VLOOKUP($I253,'Institution Evaluation'!$A$55:$F$346,4,0),IFERROR(VLOOKUP($I253,'Privacy Analyst Evaluation'!$A$46:$F$120,4,0),""))&amp;""</f>
        <v/>
      </c>
      <c r="M253" s="210"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2">
      <c r="A254" s="210" t="str">
        <f>IFERROR(IF($A253+1&gt;'(backend scoring)'!$T$335,"",$A253+1),"")</f>
        <v/>
      </c>
      <c r="B254" s="210" t="str">
        <f>_xlfn.XLOOKUP($A254,'(backend scoring)'!$V$2:$V$333,'(backend scoring)'!$A$2:$A$333,"")</f>
        <v/>
      </c>
      <c r="C254" s="210" t="str">
        <f>IFERROR(VLOOKUP($B254,'Institution Evaluation'!$A$55:$F$346,2,0),IFERROR(VLOOKUP($B254,'Privacy Analyst Evaluation'!$A$46:$F$120,2,0),""))&amp;""</f>
        <v/>
      </c>
      <c r="D254" s="210" t="str">
        <f>IFERROR(VLOOKUP($B254,'Institution Evaluation'!$A$55:$F$346,3,0),IFERROR(VLOOKUP($B254,'Privacy Analyst Evaluation'!$A$46:$F$120,3,0),""))&amp;""</f>
        <v/>
      </c>
      <c r="E254" s="210" t="str">
        <f>IFERROR(VLOOKUP($B254,'Institution Evaluation'!$A$55:$F$346,4,0),IFERROR(VLOOKUP($B254,'Privacy Analyst Evaluation'!$A$46:$F$120,4,0),""))&amp;""</f>
        <v/>
      </c>
      <c r="F254" s="210" t="str">
        <f>IFERROR(VLOOKUP($B254,'Institution Evaluation'!$A$55:$F$346,6,0),IFERROR(VLOOKUP($B254,'Privacy Analyst Evaluation'!$A$46:$F$120,6,0),""))&amp;""</f>
        <v/>
      </c>
      <c r="G254" s="211"/>
      <c r="H254" s="210" t="str">
        <f>IFERROR(IF($H253+1&gt;'(backend scoring)'!$Q$335,"",$H253+1),"")</f>
        <v/>
      </c>
      <c r="I254" s="210" t="str">
        <f>_xlfn.XLOOKUP($H254,'(backend scoring)'!$S$2:$S$333,'(backend scoring)'!$A$2:$A$333,"")</f>
        <v/>
      </c>
      <c r="J254" s="210" t="str">
        <f>IFERROR(VLOOKUP($I254,'Institution Evaluation'!$A$55:$F$346,2,0),IFERROR(VLOOKUP($I254,'Privacy Analyst Evaluation'!$A$46:$F$120,2,0),""))</f>
        <v/>
      </c>
      <c r="K254" s="210" t="str">
        <f>IFERROR(VLOOKUP($I254,'Institution Evaluation'!$A$55:$F$346,3,0),IFERROR(VLOOKUP($I254,'Privacy Analyst Evaluation'!$A$46:$F$120,3,0),""))&amp;""</f>
        <v/>
      </c>
      <c r="L254" s="210" t="str">
        <f>IFERROR(VLOOKUP($I254,'Institution Evaluation'!$A$55:$F$346,4,0),IFERROR(VLOOKUP($I254,'Privacy Analyst Evaluation'!$A$46:$F$120,4,0),""))&amp;""</f>
        <v/>
      </c>
      <c r="M254" s="210"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2">
      <c r="A255" s="210" t="str">
        <f>IFERROR(IF($A254+1&gt;'(backend scoring)'!$T$335,"",$A254+1),"")</f>
        <v/>
      </c>
      <c r="B255" s="210" t="str">
        <f>_xlfn.XLOOKUP($A255,'(backend scoring)'!$V$2:$V$333,'(backend scoring)'!$A$2:$A$333,"")</f>
        <v/>
      </c>
      <c r="C255" s="210" t="str">
        <f>IFERROR(VLOOKUP($B255,'Institution Evaluation'!$A$55:$F$346,2,0),IFERROR(VLOOKUP($B255,'Privacy Analyst Evaluation'!$A$46:$F$120,2,0),""))&amp;""</f>
        <v/>
      </c>
      <c r="D255" s="210" t="str">
        <f>IFERROR(VLOOKUP($B255,'Institution Evaluation'!$A$55:$F$346,3,0),IFERROR(VLOOKUP($B255,'Privacy Analyst Evaluation'!$A$46:$F$120,3,0),""))&amp;""</f>
        <v/>
      </c>
      <c r="E255" s="210" t="str">
        <f>IFERROR(VLOOKUP($B255,'Institution Evaluation'!$A$55:$F$346,4,0),IFERROR(VLOOKUP($B255,'Privacy Analyst Evaluation'!$A$46:$F$120,4,0),""))&amp;""</f>
        <v/>
      </c>
      <c r="F255" s="210" t="str">
        <f>IFERROR(VLOOKUP($B255,'Institution Evaluation'!$A$55:$F$346,6,0),IFERROR(VLOOKUP($B255,'Privacy Analyst Evaluation'!$A$46:$F$120,6,0),""))&amp;""</f>
        <v/>
      </c>
      <c r="G255" s="211"/>
      <c r="H255" s="210" t="str">
        <f>IFERROR(IF($H254+1&gt;'(backend scoring)'!$Q$335,"",$H254+1),"")</f>
        <v/>
      </c>
      <c r="I255" s="210" t="str">
        <f>_xlfn.XLOOKUP($H255,'(backend scoring)'!$S$2:$S$333,'(backend scoring)'!$A$2:$A$333,"")</f>
        <v/>
      </c>
      <c r="J255" s="210" t="str">
        <f>IFERROR(VLOOKUP($I255,'Institution Evaluation'!$A$55:$F$346,2,0),IFERROR(VLOOKUP($I255,'Privacy Analyst Evaluation'!$A$46:$F$120,2,0),""))</f>
        <v/>
      </c>
      <c r="K255" s="210" t="str">
        <f>IFERROR(VLOOKUP($I255,'Institution Evaluation'!$A$55:$F$346,3,0),IFERROR(VLOOKUP($I255,'Privacy Analyst Evaluation'!$A$46:$F$120,3,0),""))&amp;""</f>
        <v/>
      </c>
      <c r="L255" s="210" t="str">
        <f>IFERROR(VLOOKUP($I255,'Institution Evaluation'!$A$55:$F$346,4,0),IFERROR(VLOOKUP($I255,'Privacy Analyst Evaluation'!$A$46:$F$120,4,0),""))&amp;""</f>
        <v/>
      </c>
      <c r="M255" s="210"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2">
      <c r="A256" s="210" t="str">
        <f>IFERROR(IF($A255+1&gt;'(backend scoring)'!$T$335,"",$A255+1),"")</f>
        <v/>
      </c>
      <c r="B256" s="210" t="str">
        <f>_xlfn.XLOOKUP($A256,'(backend scoring)'!$V$2:$V$333,'(backend scoring)'!$A$2:$A$333,"")</f>
        <v/>
      </c>
      <c r="C256" s="210" t="str">
        <f>IFERROR(VLOOKUP($B256,'Institution Evaluation'!$A$55:$F$346,2,0),IFERROR(VLOOKUP($B256,'Privacy Analyst Evaluation'!$A$46:$F$120,2,0),""))&amp;""</f>
        <v/>
      </c>
      <c r="D256" s="210" t="str">
        <f>IFERROR(VLOOKUP($B256,'Institution Evaluation'!$A$55:$F$346,3,0),IFERROR(VLOOKUP($B256,'Privacy Analyst Evaluation'!$A$46:$F$120,3,0),""))&amp;""</f>
        <v/>
      </c>
      <c r="E256" s="210" t="str">
        <f>IFERROR(VLOOKUP($B256,'Institution Evaluation'!$A$55:$F$346,4,0),IFERROR(VLOOKUP($B256,'Privacy Analyst Evaluation'!$A$46:$F$120,4,0),""))&amp;""</f>
        <v/>
      </c>
      <c r="F256" s="210" t="str">
        <f>IFERROR(VLOOKUP($B256,'Institution Evaluation'!$A$55:$F$346,6,0),IFERROR(VLOOKUP($B256,'Privacy Analyst Evaluation'!$A$46:$F$120,6,0),""))&amp;""</f>
        <v/>
      </c>
      <c r="G256" s="211"/>
      <c r="H256" s="210" t="str">
        <f>IFERROR(IF($H255+1&gt;'(backend scoring)'!$Q$335,"",$H255+1),"")</f>
        <v/>
      </c>
      <c r="I256" s="210" t="str">
        <f>_xlfn.XLOOKUP($H256,'(backend scoring)'!$S$2:$S$333,'(backend scoring)'!$A$2:$A$333,"")</f>
        <v/>
      </c>
      <c r="J256" s="210" t="str">
        <f>IFERROR(VLOOKUP($I256,'Institution Evaluation'!$A$55:$F$346,2,0),IFERROR(VLOOKUP($I256,'Privacy Analyst Evaluation'!$A$46:$F$120,2,0),""))</f>
        <v/>
      </c>
      <c r="K256" s="210" t="str">
        <f>IFERROR(VLOOKUP($I256,'Institution Evaluation'!$A$55:$F$346,3,0),IFERROR(VLOOKUP($I256,'Privacy Analyst Evaluation'!$A$46:$F$120,3,0),""))&amp;""</f>
        <v/>
      </c>
      <c r="L256" s="210" t="str">
        <f>IFERROR(VLOOKUP($I256,'Institution Evaluation'!$A$55:$F$346,4,0),IFERROR(VLOOKUP($I256,'Privacy Analyst Evaluation'!$A$46:$F$120,4,0),""))&amp;""</f>
        <v/>
      </c>
      <c r="M256" s="210"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2">
      <c r="A257" s="210" t="str">
        <f>IFERROR(IF($A256+1&gt;'(backend scoring)'!$T$335,"",$A256+1),"")</f>
        <v/>
      </c>
      <c r="B257" s="210" t="str">
        <f>_xlfn.XLOOKUP($A257,'(backend scoring)'!$V$2:$V$333,'(backend scoring)'!$A$2:$A$333,"")</f>
        <v/>
      </c>
      <c r="C257" s="210" t="str">
        <f>IFERROR(VLOOKUP($B257,'Institution Evaluation'!$A$55:$F$346,2,0),IFERROR(VLOOKUP($B257,'Privacy Analyst Evaluation'!$A$46:$F$120,2,0),""))&amp;""</f>
        <v/>
      </c>
      <c r="D257" s="210" t="str">
        <f>IFERROR(VLOOKUP($B257,'Institution Evaluation'!$A$55:$F$346,3,0),IFERROR(VLOOKUP($B257,'Privacy Analyst Evaluation'!$A$46:$F$120,3,0),""))&amp;""</f>
        <v/>
      </c>
      <c r="E257" s="210" t="str">
        <f>IFERROR(VLOOKUP($B257,'Institution Evaluation'!$A$55:$F$346,4,0),IFERROR(VLOOKUP($B257,'Privacy Analyst Evaluation'!$A$46:$F$120,4,0),""))&amp;""</f>
        <v/>
      </c>
      <c r="F257" s="210" t="str">
        <f>IFERROR(VLOOKUP($B257,'Institution Evaluation'!$A$55:$F$346,6,0),IFERROR(VLOOKUP($B257,'Privacy Analyst Evaluation'!$A$46:$F$120,6,0),""))&amp;""</f>
        <v/>
      </c>
      <c r="G257" s="211"/>
      <c r="H257" s="210" t="str">
        <f>IFERROR(IF($H256+1&gt;'(backend scoring)'!$Q$335,"",$H256+1),"")</f>
        <v/>
      </c>
      <c r="I257" s="210" t="str">
        <f>_xlfn.XLOOKUP($H257,'(backend scoring)'!$S$2:$S$333,'(backend scoring)'!$A$2:$A$333,"")</f>
        <v/>
      </c>
      <c r="J257" s="210" t="str">
        <f>IFERROR(VLOOKUP($I257,'Institution Evaluation'!$A$55:$F$346,2,0),IFERROR(VLOOKUP($I257,'Privacy Analyst Evaluation'!$A$46:$F$120,2,0),""))</f>
        <v/>
      </c>
      <c r="K257" s="210" t="str">
        <f>IFERROR(VLOOKUP($I257,'Institution Evaluation'!$A$55:$F$346,3,0),IFERROR(VLOOKUP($I257,'Privacy Analyst Evaluation'!$A$46:$F$120,3,0),""))&amp;""</f>
        <v/>
      </c>
      <c r="L257" s="210" t="str">
        <f>IFERROR(VLOOKUP($I257,'Institution Evaluation'!$A$55:$F$346,4,0),IFERROR(VLOOKUP($I257,'Privacy Analyst Evaluation'!$A$46:$F$120,4,0),""))&amp;""</f>
        <v/>
      </c>
      <c r="M257" s="210"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2">
      <c r="A258" s="210" t="str">
        <f>IFERROR(IF($A257+1&gt;'(backend scoring)'!$T$335,"",$A257+1),"")</f>
        <v/>
      </c>
      <c r="B258" s="210" t="str">
        <f>_xlfn.XLOOKUP($A258,'(backend scoring)'!$V$2:$V$333,'(backend scoring)'!$A$2:$A$333,"")</f>
        <v/>
      </c>
      <c r="C258" s="210" t="str">
        <f>IFERROR(VLOOKUP($B258,'Institution Evaluation'!$A$55:$F$346,2,0),IFERROR(VLOOKUP($B258,'Privacy Analyst Evaluation'!$A$46:$F$120,2,0),""))&amp;""</f>
        <v/>
      </c>
      <c r="D258" s="210" t="str">
        <f>IFERROR(VLOOKUP($B258,'Institution Evaluation'!$A$55:$F$346,3,0),IFERROR(VLOOKUP($B258,'Privacy Analyst Evaluation'!$A$46:$F$120,3,0),""))&amp;""</f>
        <v/>
      </c>
      <c r="E258" s="210" t="str">
        <f>IFERROR(VLOOKUP($B258,'Institution Evaluation'!$A$55:$F$346,4,0),IFERROR(VLOOKUP($B258,'Privacy Analyst Evaluation'!$A$46:$F$120,4,0),""))&amp;""</f>
        <v/>
      </c>
      <c r="F258" s="210" t="str">
        <f>IFERROR(VLOOKUP($B258,'Institution Evaluation'!$A$55:$F$346,6,0),IFERROR(VLOOKUP($B258,'Privacy Analyst Evaluation'!$A$46:$F$120,6,0),""))&amp;""</f>
        <v/>
      </c>
      <c r="G258" s="211"/>
      <c r="H258" s="210" t="str">
        <f>IFERROR(IF($H257+1&gt;'(backend scoring)'!$Q$335,"",$H257+1),"")</f>
        <v/>
      </c>
      <c r="I258" s="210" t="str">
        <f>_xlfn.XLOOKUP($H258,'(backend scoring)'!$S$2:$S$333,'(backend scoring)'!$A$2:$A$333,"")</f>
        <v/>
      </c>
      <c r="J258" s="210" t="str">
        <f>IFERROR(VLOOKUP($I258,'Institution Evaluation'!$A$55:$F$346,2,0),IFERROR(VLOOKUP($I258,'Privacy Analyst Evaluation'!$A$46:$F$120,2,0),""))</f>
        <v/>
      </c>
      <c r="K258" s="210" t="str">
        <f>IFERROR(VLOOKUP($I258,'Institution Evaluation'!$A$55:$F$346,3,0),IFERROR(VLOOKUP($I258,'Privacy Analyst Evaluation'!$A$46:$F$120,3,0),""))&amp;""</f>
        <v/>
      </c>
      <c r="L258" s="210" t="str">
        <f>IFERROR(VLOOKUP($I258,'Institution Evaluation'!$A$55:$F$346,4,0),IFERROR(VLOOKUP($I258,'Privacy Analyst Evaluation'!$A$46:$F$120,4,0),""))&amp;""</f>
        <v/>
      </c>
      <c r="M258" s="210"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2">
      <c r="A259" s="210" t="str">
        <f>IFERROR(IF($A258+1&gt;'(backend scoring)'!$T$335,"",$A258+1),"")</f>
        <v/>
      </c>
      <c r="B259" s="210" t="str">
        <f>_xlfn.XLOOKUP($A259,'(backend scoring)'!$V$2:$V$333,'(backend scoring)'!$A$2:$A$333,"")</f>
        <v/>
      </c>
      <c r="C259" s="210" t="str">
        <f>IFERROR(VLOOKUP($B259,'Institution Evaluation'!$A$55:$F$346,2,0),IFERROR(VLOOKUP($B259,'Privacy Analyst Evaluation'!$A$46:$F$120,2,0),""))&amp;""</f>
        <v/>
      </c>
      <c r="D259" s="210" t="str">
        <f>IFERROR(VLOOKUP($B259,'Institution Evaluation'!$A$55:$F$346,3,0),IFERROR(VLOOKUP($B259,'Privacy Analyst Evaluation'!$A$46:$F$120,3,0),""))&amp;""</f>
        <v/>
      </c>
      <c r="E259" s="210" t="str">
        <f>IFERROR(VLOOKUP($B259,'Institution Evaluation'!$A$55:$F$346,4,0),IFERROR(VLOOKUP($B259,'Privacy Analyst Evaluation'!$A$46:$F$120,4,0),""))&amp;""</f>
        <v/>
      </c>
      <c r="F259" s="210" t="str">
        <f>IFERROR(VLOOKUP($B259,'Institution Evaluation'!$A$55:$F$346,6,0),IFERROR(VLOOKUP($B259,'Privacy Analyst Evaluation'!$A$46:$F$120,6,0),""))&amp;""</f>
        <v/>
      </c>
      <c r="G259" s="211"/>
      <c r="H259" s="210" t="str">
        <f>IFERROR(IF($H258+1&gt;'(backend scoring)'!$Q$335,"",$H258+1),"")</f>
        <v/>
      </c>
      <c r="I259" s="210" t="str">
        <f>_xlfn.XLOOKUP($H259,'(backend scoring)'!$S$2:$S$333,'(backend scoring)'!$A$2:$A$333,"")</f>
        <v/>
      </c>
      <c r="J259" s="210" t="str">
        <f>IFERROR(VLOOKUP($I259,'Institution Evaluation'!$A$55:$F$346,2,0),IFERROR(VLOOKUP($I259,'Privacy Analyst Evaluation'!$A$46:$F$120,2,0),""))</f>
        <v/>
      </c>
      <c r="K259" s="210" t="str">
        <f>IFERROR(VLOOKUP($I259,'Institution Evaluation'!$A$55:$F$346,3,0),IFERROR(VLOOKUP($I259,'Privacy Analyst Evaluation'!$A$46:$F$120,3,0),""))&amp;""</f>
        <v/>
      </c>
      <c r="L259" s="210" t="str">
        <f>IFERROR(VLOOKUP($I259,'Institution Evaluation'!$A$55:$F$346,4,0),IFERROR(VLOOKUP($I259,'Privacy Analyst Evaluation'!$A$46:$F$120,4,0),""))&amp;""</f>
        <v/>
      </c>
      <c r="M259" s="210"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2">
      <c r="A260" s="210" t="str">
        <f>IFERROR(IF($A259+1&gt;'(backend scoring)'!$T$335,"",$A259+1),"")</f>
        <v/>
      </c>
      <c r="B260" s="210" t="str">
        <f>_xlfn.XLOOKUP($A260,'(backend scoring)'!$V$2:$V$333,'(backend scoring)'!$A$2:$A$333,"")</f>
        <v/>
      </c>
      <c r="C260" s="210" t="str">
        <f>IFERROR(VLOOKUP($B260,'Institution Evaluation'!$A$55:$F$346,2,0),IFERROR(VLOOKUP($B260,'Privacy Analyst Evaluation'!$A$46:$F$120,2,0),""))&amp;""</f>
        <v/>
      </c>
      <c r="D260" s="210" t="str">
        <f>IFERROR(VLOOKUP($B260,'Institution Evaluation'!$A$55:$F$346,3,0),IFERROR(VLOOKUP($B260,'Privacy Analyst Evaluation'!$A$46:$F$120,3,0),""))&amp;""</f>
        <v/>
      </c>
      <c r="E260" s="210" t="str">
        <f>IFERROR(VLOOKUP($B260,'Institution Evaluation'!$A$55:$F$346,4,0),IFERROR(VLOOKUP($B260,'Privacy Analyst Evaluation'!$A$46:$F$120,4,0),""))&amp;""</f>
        <v/>
      </c>
      <c r="F260" s="210" t="str">
        <f>IFERROR(VLOOKUP($B260,'Institution Evaluation'!$A$55:$F$346,6,0),IFERROR(VLOOKUP($B260,'Privacy Analyst Evaluation'!$A$46:$F$120,6,0),""))&amp;""</f>
        <v/>
      </c>
      <c r="G260" s="211"/>
      <c r="H260" s="210" t="str">
        <f>IFERROR(IF($H259+1&gt;'(backend scoring)'!$Q$335,"",$H259+1),"")</f>
        <v/>
      </c>
      <c r="I260" s="210" t="str">
        <f>_xlfn.XLOOKUP($H260,'(backend scoring)'!$S$2:$S$333,'(backend scoring)'!$A$2:$A$333,"")</f>
        <v/>
      </c>
      <c r="J260" s="210" t="str">
        <f>IFERROR(VLOOKUP($I260,'Institution Evaluation'!$A$55:$F$346,2,0),IFERROR(VLOOKUP($I260,'Privacy Analyst Evaluation'!$A$46:$F$120,2,0),""))</f>
        <v/>
      </c>
      <c r="K260" s="210" t="str">
        <f>IFERROR(VLOOKUP($I260,'Institution Evaluation'!$A$55:$F$346,3,0),IFERROR(VLOOKUP($I260,'Privacy Analyst Evaluation'!$A$46:$F$120,3,0),""))&amp;""</f>
        <v/>
      </c>
      <c r="L260" s="210" t="str">
        <f>IFERROR(VLOOKUP($I260,'Institution Evaluation'!$A$55:$F$346,4,0),IFERROR(VLOOKUP($I260,'Privacy Analyst Evaluation'!$A$46:$F$120,4,0),""))&amp;""</f>
        <v/>
      </c>
      <c r="M260" s="210"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2">
      <c r="A261" s="210" t="str">
        <f>IFERROR(IF($A260+1&gt;'(backend scoring)'!$T$335,"",$A260+1),"")</f>
        <v/>
      </c>
      <c r="B261" s="210" t="str">
        <f>_xlfn.XLOOKUP($A261,'(backend scoring)'!$V$2:$V$333,'(backend scoring)'!$A$2:$A$333,"")</f>
        <v/>
      </c>
      <c r="C261" s="210" t="str">
        <f>IFERROR(VLOOKUP($B261,'Institution Evaluation'!$A$55:$F$346,2,0),IFERROR(VLOOKUP($B261,'Privacy Analyst Evaluation'!$A$46:$F$120,2,0),""))&amp;""</f>
        <v/>
      </c>
      <c r="D261" s="210" t="str">
        <f>IFERROR(VLOOKUP($B261,'Institution Evaluation'!$A$55:$F$346,3,0),IFERROR(VLOOKUP($B261,'Privacy Analyst Evaluation'!$A$46:$F$120,3,0),""))&amp;""</f>
        <v/>
      </c>
      <c r="E261" s="210" t="str">
        <f>IFERROR(VLOOKUP($B261,'Institution Evaluation'!$A$55:$F$346,4,0),IFERROR(VLOOKUP($B261,'Privacy Analyst Evaluation'!$A$46:$F$120,4,0),""))&amp;""</f>
        <v/>
      </c>
      <c r="F261" s="210" t="str">
        <f>IFERROR(VLOOKUP($B261,'Institution Evaluation'!$A$55:$F$346,6,0),IFERROR(VLOOKUP($B261,'Privacy Analyst Evaluation'!$A$46:$F$120,6,0),""))&amp;""</f>
        <v/>
      </c>
      <c r="G261" s="211"/>
      <c r="H261" s="210" t="str">
        <f>IFERROR(IF($H260+1&gt;'(backend scoring)'!$Q$335,"",$H260+1),"")</f>
        <v/>
      </c>
      <c r="I261" s="210" t="str">
        <f>_xlfn.XLOOKUP($H261,'(backend scoring)'!$S$2:$S$333,'(backend scoring)'!$A$2:$A$333,"")</f>
        <v/>
      </c>
      <c r="J261" s="210" t="str">
        <f>IFERROR(VLOOKUP($I261,'Institution Evaluation'!$A$55:$F$346,2,0),IFERROR(VLOOKUP($I261,'Privacy Analyst Evaluation'!$A$46:$F$120,2,0),""))</f>
        <v/>
      </c>
      <c r="K261" s="210" t="str">
        <f>IFERROR(VLOOKUP($I261,'Institution Evaluation'!$A$55:$F$346,3,0),IFERROR(VLOOKUP($I261,'Privacy Analyst Evaluation'!$A$46:$F$120,3,0),""))&amp;""</f>
        <v/>
      </c>
      <c r="L261" s="210" t="str">
        <f>IFERROR(VLOOKUP($I261,'Institution Evaluation'!$A$55:$F$346,4,0),IFERROR(VLOOKUP($I261,'Privacy Analyst Evaluation'!$A$46:$F$120,4,0),""))&amp;""</f>
        <v/>
      </c>
      <c r="M261" s="210"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2">
      <c r="A262" s="210" t="str">
        <f>IFERROR(IF($A261+1&gt;'(backend scoring)'!$T$335,"",$A261+1),"")</f>
        <v/>
      </c>
      <c r="B262" s="210" t="str">
        <f>_xlfn.XLOOKUP($A262,'(backend scoring)'!$V$2:$V$333,'(backend scoring)'!$A$2:$A$333,"")</f>
        <v/>
      </c>
      <c r="C262" s="210" t="str">
        <f>IFERROR(VLOOKUP($B262,'Institution Evaluation'!$A$55:$F$346,2,0),IFERROR(VLOOKUP($B262,'Privacy Analyst Evaluation'!$A$46:$F$120,2,0),""))&amp;""</f>
        <v/>
      </c>
      <c r="D262" s="210" t="str">
        <f>IFERROR(VLOOKUP($B262,'Institution Evaluation'!$A$55:$F$346,3,0),IFERROR(VLOOKUP($B262,'Privacy Analyst Evaluation'!$A$46:$F$120,3,0),""))&amp;""</f>
        <v/>
      </c>
      <c r="E262" s="210" t="str">
        <f>IFERROR(VLOOKUP($B262,'Institution Evaluation'!$A$55:$F$346,4,0),IFERROR(VLOOKUP($B262,'Privacy Analyst Evaluation'!$A$46:$F$120,4,0),""))&amp;""</f>
        <v/>
      </c>
      <c r="F262" s="210" t="str">
        <f>IFERROR(VLOOKUP($B262,'Institution Evaluation'!$A$55:$F$346,6,0),IFERROR(VLOOKUP($B262,'Privacy Analyst Evaluation'!$A$46:$F$120,6,0),""))&amp;""</f>
        <v/>
      </c>
      <c r="G262" s="211"/>
      <c r="H262" s="210" t="str">
        <f>IFERROR(IF($H261+1&gt;'(backend scoring)'!$Q$335,"",$H261+1),"")</f>
        <v/>
      </c>
      <c r="I262" s="210" t="str">
        <f>_xlfn.XLOOKUP($H262,'(backend scoring)'!$S$2:$S$333,'(backend scoring)'!$A$2:$A$333,"")</f>
        <v/>
      </c>
      <c r="J262" s="210" t="str">
        <f>IFERROR(VLOOKUP($I262,'Institution Evaluation'!$A$55:$F$346,2,0),IFERROR(VLOOKUP($I262,'Privacy Analyst Evaluation'!$A$46:$F$120,2,0),""))</f>
        <v/>
      </c>
      <c r="K262" s="210" t="str">
        <f>IFERROR(VLOOKUP($I262,'Institution Evaluation'!$A$55:$F$346,3,0),IFERROR(VLOOKUP($I262,'Privacy Analyst Evaluation'!$A$46:$F$120,3,0),""))&amp;""</f>
        <v/>
      </c>
      <c r="L262" s="210" t="str">
        <f>IFERROR(VLOOKUP($I262,'Institution Evaluation'!$A$55:$F$346,4,0),IFERROR(VLOOKUP($I262,'Privacy Analyst Evaluation'!$A$46:$F$120,4,0),""))&amp;""</f>
        <v/>
      </c>
      <c r="M262" s="210"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2">
      <c r="A263" s="210" t="str">
        <f>IFERROR(IF($A262+1&gt;'(backend scoring)'!$T$335,"",$A262+1),"")</f>
        <v/>
      </c>
      <c r="B263" s="210" t="str">
        <f>_xlfn.XLOOKUP($A263,'(backend scoring)'!$V$2:$V$333,'(backend scoring)'!$A$2:$A$333,"")</f>
        <v/>
      </c>
      <c r="C263" s="210" t="str">
        <f>IFERROR(VLOOKUP($B263,'Institution Evaluation'!$A$55:$F$346,2,0),IFERROR(VLOOKUP($B263,'Privacy Analyst Evaluation'!$A$46:$F$120,2,0),""))&amp;""</f>
        <v/>
      </c>
      <c r="D263" s="210" t="str">
        <f>IFERROR(VLOOKUP($B263,'Institution Evaluation'!$A$55:$F$346,3,0),IFERROR(VLOOKUP($B263,'Privacy Analyst Evaluation'!$A$46:$F$120,3,0),""))&amp;""</f>
        <v/>
      </c>
      <c r="E263" s="210" t="str">
        <f>IFERROR(VLOOKUP($B263,'Institution Evaluation'!$A$55:$F$346,4,0),IFERROR(VLOOKUP($B263,'Privacy Analyst Evaluation'!$A$46:$F$120,4,0),""))&amp;""</f>
        <v/>
      </c>
      <c r="F263" s="210" t="str">
        <f>IFERROR(VLOOKUP($B263,'Institution Evaluation'!$A$55:$F$346,6,0),IFERROR(VLOOKUP($B263,'Privacy Analyst Evaluation'!$A$46:$F$120,6,0),""))&amp;""</f>
        <v/>
      </c>
      <c r="G263" s="211"/>
      <c r="H263" s="210" t="str">
        <f>IFERROR(IF($H262+1&gt;'(backend scoring)'!$Q$335,"",$H262+1),"")</f>
        <v/>
      </c>
      <c r="I263" s="210" t="str">
        <f>_xlfn.XLOOKUP($H263,'(backend scoring)'!$S$2:$S$333,'(backend scoring)'!$A$2:$A$333,"")</f>
        <v/>
      </c>
      <c r="J263" s="210" t="str">
        <f>IFERROR(VLOOKUP($I263,'Institution Evaluation'!$A$55:$F$346,2,0),IFERROR(VLOOKUP($I263,'Privacy Analyst Evaluation'!$A$46:$F$120,2,0),""))</f>
        <v/>
      </c>
      <c r="K263" s="210" t="str">
        <f>IFERROR(VLOOKUP($I263,'Institution Evaluation'!$A$55:$F$346,3,0),IFERROR(VLOOKUP($I263,'Privacy Analyst Evaluation'!$A$46:$F$120,3,0),""))&amp;""</f>
        <v/>
      </c>
      <c r="L263" s="210" t="str">
        <f>IFERROR(VLOOKUP($I263,'Institution Evaluation'!$A$55:$F$346,4,0),IFERROR(VLOOKUP($I263,'Privacy Analyst Evaluation'!$A$46:$F$120,4,0),""))&amp;""</f>
        <v/>
      </c>
      <c r="M263" s="210"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2">
      <c r="A264" s="210" t="str">
        <f>IFERROR(IF($A263+1&gt;'(backend scoring)'!$T$335,"",$A263+1),"")</f>
        <v/>
      </c>
      <c r="B264" s="210" t="str">
        <f>_xlfn.XLOOKUP($A264,'(backend scoring)'!$V$2:$V$333,'(backend scoring)'!$A$2:$A$333,"")</f>
        <v/>
      </c>
      <c r="C264" s="210" t="str">
        <f>IFERROR(VLOOKUP($B264,'Institution Evaluation'!$A$55:$F$346,2,0),IFERROR(VLOOKUP($B264,'Privacy Analyst Evaluation'!$A$46:$F$120,2,0),""))&amp;""</f>
        <v/>
      </c>
      <c r="D264" s="210" t="str">
        <f>IFERROR(VLOOKUP($B264,'Institution Evaluation'!$A$55:$F$346,3,0),IFERROR(VLOOKUP($B264,'Privacy Analyst Evaluation'!$A$46:$F$120,3,0),""))&amp;""</f>
        <v/>
      </c>
      <c r="E264" s="210" t="str">
        <f>IFERROR(VLOOKUP($B264,'Institution Evaluation'!$A$55:$F$346,4,0),IFERROR(VLOOKUP($B264,'Privacy Analyst Evaluation'!$A$46:$F$120,4,0),""))&amp;""</f>
        <v/>
      </c>
      <c r="F264" s="210" t="str">
        <f>IFERROR(VLOOKUP($B264,'Institution Evaluation'!$A$55:$F$346,6,0),IFERROR(VLOOKUP($B264,'Privacy Analyst Evaluation'!$A$46:$F$120,6,0),""))&amp;""</f>
        <v/>
      </c>
      <c r="G264" s="211"/>
      <c r="H264" s="210" t="str">
        <f>IFERROR(IF($H263+1&gt;'(backend scoring)'!$Q$335,"",$H263+1),"")</f>
        <v/>
      </c>
      <c r="I264" s="210" t="str">
        <f>_xlfn.XLOOKUP($H264,'(backend scoring)'!$S$2:$S$333,'(backend scoring)'!$A$2:$A$333,"")</f>
        <v/>
      </c>
      <c r="J264" s="210" t="str">
        <f>IFERROR(VLOOKUP($I264,'Institution Evaluation'!$A$55:$F$346,2,0),IFERROR(VLOOKUP($I264,'Privacy Analyst Evaluation'!$A$46:$F$120,2,0),""))</f>
        <v/>
      </c>
      <c r="K264" s="210" t="str">
        <f>IFERROR(VLOOKUP($I264,'Institution Evaluation'!$A$55:$F$346,3,0),IFERROR(VLOOKUP($I264,'Privacy Analyst Evaluation'!$A$46:$F$120,3,0),""))&amp;""</f>
        <v/>
      </c>
      <c r="L264" s="210" t="str">
        <f>IFERROR(VLOOKUP($I264,'Institution Evaluation'!$A$55:$F$346,4,0),IFERROR(VLOOKUP($I264,'Privacy Analyst Evaluation'!$A$46:$F$120,4,0),""))&amp;""</f>
        <v/>
      </c>
      <c r="M264" s="210"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2">
      <c r="A265" s="210" t="str">
        <f>IFERROR(IF($A264+1&gt;'(backend scoring)'!$T$335,"",$A264+1),"")</f>
        <v/>
      </c>
      <c r="B265" s="210" t="str">
        <f>_xlfn.XLOOKUP($A265,'(backend scoring)'!$V$2:$V$333,'(backend scoring)'!$A$2:$A$333,"")</f>
        <v/>
      </c>
      <c r="C265" s="210" t="str">
        <f>IFERROR(VLOOKUP($B265,'Institution Evaluation'!$A$55:$F$346,2,0),IFERROR(VLOOKUP($B265,'Privacy Analyst Evaluation'!$A$46:$F$120,2,0),""))&amp;""</f>
        <v/>
      </c>
      <c r="D265" s="210" t="str">
        <f>IFERROR(VLOOKUP($B265,'Institution Evaluation'!$A$55:$F$346,3,0),IFERROR(VLOOKUP($B265,'Privacy Analyst Evaluation'!$A$46:$F$120,3,0),""))&amp;""</f>
        <v/>
      </c>
      <c r="E265" s="210" t="str">
        <f>IFERROR(VLOOKUP($B265,'Institution Evaluation'!$A$55:$F$346,4,0),IFERROR(VLOOKUP($B265,'Privacy Analyst Evaluation'!$A$46:$F$120,4,0),""))&amp;""</f>
        <v/>
      </c>
      <c r="F265" s="210" t="str">
        <f>IFERROR(VLOOKUP($B265,'Institution Evaluation'!$A$55:$F$346,6,0),IFERROR(VLOOKUP($B265,'Privacy Analyst Evaluation'!$A$46:$F$120,6,0),""))&amp;""</f>
        <v/>
      </c>
      <c r="G265" s="211"/>
      <c r="H265" s="210" t="str">
        <f>IFERROR(IF($H264+1&gt;'(backend scoring)'!$Q$335,"",$H264+1),"")</f>
        <v/>
      </c>
      <c r="I265" s="210" t="str">
        <f>_xlfn.XLOOKUP($H265,'(backend scoring)'!$S$2:$S$333,'(backend scoring)'!$A$2:$A$333,"")</f>
        <v/>
      </c>
      <c r="J265" s="210" t="str">
        <f>IFERROR(VLOOKUP($I265,'Institution Evaluation'!$A$55:$F$346,2,0),IFERROR(VLOOKUP($I265,'Privacy Analyst Evaluation'!$A$46:$F$120,2,0),""))</f>
        <v/>
      </c>
      <c r="K265" s="210" t="str">
        <f>IFERROR(VLOOKUP($I265,'Institution Evaluation'!$A$55:$F$346,3,0),IFERROR(VLOOKUP($I265,'Privacy Analyst Evaluation'!$A$46:$F$120,3,0),""))&amp;""</f>
        <v/>
      </c>
      <c r="L265" s="210" t="str">
        <f>IFERROR(VLOOKUP($I265,'Institution Evaluation'!$A$55:$F$346,4,0),IFERROR(VLOOKUP($I265,'Privacy Analyst Evaluation'!$A$46:$F$120,4,0),""))&amp;""</f>
        <v/>
      </c>
      <c r="M265" s="210"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2">
      <c r="A266" s="210" t="str">
        <f>IFERROR(IF($A265+1&gt;'(backend scoring)'!$T$335,"",$A265+1),"")</f>
        <v/>
      </c>
      <c r="B266" s="210" t="str">
        <f>_xlfn.XLOOKUP($A266,'(backend scoring)'!$V$2:$V$333,'(backend scoring)'!$A$2:$A$333,"")</f>
        <v/>
      </c>
      <c r="C266" s="210" t="str">
        <f>IFERROR(VLOOKUP($B266,'Institution Evaluation'!$A$55:$F$346,2,0),IFERROR(VLOOKUP($B266,'Privacy Analyst Evaluation'!$A$46:$F$120,2,0),""))&amp;""</f>
        <v/>
      </c>
      <c r="D266" s="210" t="str">
        <f>IFERROR(VLOOKUP($B266,'Institution Evaluation'!$A$55:$F$346,3,0),IFERROR(VLOOKUP($B266,'Privacy Analyst Evaluation'!$A$46:$F$120,3,0),""))&amp;""</f>
        <v/>
      </c>
      <c r="E266" s="210" t="str">
        <f>IFERROR(VLOOKUP($B266,'Institution Evaluation'!$A$55:$F$346,4,0),IFERROR(VLOOKUP($B266,'Privacy Analyst Evaluation'!$A$46:$F$120,4,0),""))&amp;""</f>
        <v/>
      </c>
      <c r="F266" s="210" t="str">
        <f>IFERROR(VLOOKUP($B266,'Institution Evaluation'!$A$55:$F$346,6,0),IFERROR(VLOOKUP($B266,'Privacy Analyst Evaluation'!$A$46:$F$120,6,0),""))&amp;""</f>
        <v/>
      </c>
      <c r="G266" s="211"/>
      <c r="H266" s="210" t="str">
        <f>IFERROR(IF($H265+1&gt;'(backend scoring)'!$Q$335,"",$H265+1),"")</f>
        <v/>
      </c>
      <c r="I266" s="210" t="str">
        <f>_xlfn.XLOOKUP($H266,'(backend scoring)'!$S$2:$S$333,'(backend scoring)'!$A$2:$A$333,"")</f>
        <v/>
      </c>
      <c r="J266" s="210" t="str">
        <f>IFERROR(VLOOKUP($I266,'Institution Evaluation'!$A$55:$F$346,2,0),IFERROR(VLOOKUP($I266,'Privacy Analyst Evaluation'!$A$46:$F$120,2,0),""))</f>
        <v/>
      </c>
      <c r="K266" s="210" t="str">
        <f>IFERROR(VLOOKUP($I266,'Institution Evaluation'!$A$55:$F$346,3,0),IFERROR(VLOOKUP($I266,'Privacy Analyst Evaluation'!$A$46:$F$120,3,0),""))&amp;""</f>
        <v/>
      </c>
      <c r="L266" s="210" t="str">
        <f>IFERROR(VLOOKUP($I266,'Institution Evaluation'!$A$55:$F$346,4,0),IFERROR(VLOOKUP($I266,'Privacy Analyst Evaluation'!$A$46:$F$120,4,0),""))&amp;""</f>
        <v/>
      </c>
      <c r="M266" s="210"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2">
      <c r="A267" s="210" t="str">
        <f>IFERROR(IF($A266+1&gt;'(backend scoring)'!$T$335,"",$A266+1),"")</f>
        <v/>
      </c>
      <c r="B267" s="210" t="str">
        <f>_xlfn.XLOOKUP($A267,'(backend scoring)'!$V$2:$V$333,'(backend scoring)'!$A$2:$A$333,"")</f>
        <v/>
      </c>
      <c r="C267" s="210" t="str">
        <f>IFERROR(VLOOKUP($B267,'Institution Evaluation'!$A$55:$F$346,2,0),IFERROR(VLOOKUP($B267,'Privacy Analyst Evaluation'!$A$46:$F$120,2,0),""))&amp;""</f>
        <v/>
      </c>
      <c r="D267" s="210" t="str">
        <f>IFERROR(VLOOKUP($B267,'Institution Evaluation'!$A$55:$F$346,3,0),IFERROR(VLOOKUP($B267,'Privacy Analyst Evaluation'!$A$46:$F$120,3,0),""))&amp;""</f>
        <v/>
      </c>
      <c r="E267" s="210" t="str">
        <f>IFERROR(VLOOKUP($B267,'Institution Evaluation'!$A$55:$F$346,4,0),IFERROR(VLOOKUP($B267,'Privacy Analyst Evaluation'!$A$46:$F$120,4,0),""))&amp;""</f>
        <v/>
      </c>
      <c r="F267" s="210" t="str">
        <f>IFERROR(VLOOKUP($B267,'Institution Evaluation'!$A$55:$F$346,6,0),IFERROR(VLOOKUP($B267,'Privacy Analyst Evaluation'!$A$46:$F$120,6,0),""))&amp;""</f>
        <v/>
      </c>
      <c r="G267" s="211"/>
      <c r="H267" s="210" t="str">
        <f>IFERROR(IF($H266+1&gt;'(backend scoring)'!$Q$335,"",$H266+1),"")</f>
        <v/>
      </c>
      <c r="I267" s="210" t="str">
        <f>_xlfn.XLOOKUP($H267,'(backend scoring)'!$S$2:$S$333,'(backend scoring)'!$A$2:$A$333,"")</f>
        <v/>
      </c>
      <c r="J267" s="210" t="str">
        <f>IFERROR(VLOOKUP($I267,'Institution Evaluation'!$A$55:$F$346,2,0),IFERROR(VLOOKUP($I267,'Privacy Analyst Evaluation'!$A$46:$F$120,2,0),""))</f>
        <v/>
      </c>
      <c r="K267" s="210" t="str">
        <f>IFERROR(VLOOKUP($I267,'Institution Evaluation'!$A$55:$F$346,3,0),IFERROR(VLOOKUP($I267,'Privacy Analyst Evaluation'!$A$46:$F$120,3,0),""))&amp;""</f>
        <v/>
      </c>
      <c r="L267" s="210" t="str">
        <f>IFERROR(VLOOKUP($I267,'Institution Evaluation'!$A$55:$F$346,4,0),IFERROR(VLOOKUP($I267,'Privacy Analyst Evaluation'!$A$46:$F$120,4,0),""))&amp;""</f>
        <v/>
      </c>
      <c r="M267" s="210"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2">
      <c r="A268" s="210" t="str">
        <f>IFERROR(IF($A267+1&gt;'(backend scoring)'!$T$335,"",$A267+1),"")</f>
        <v/>
      </c>
      <c r="B268" s="210" t="str">
        <f>_xlfn.XLOOKUP($A268,'(backend scoring)'!$V$2:$V$333,'(backend scoring)'!$A$2:$A$333,"")</f>
        <v/>
      </c>
      <c r="C268" s="210" t="str">
        <f>IFERROR(VLOOKUP($B268,'Institution Evaluation'!$A$55:$F$346,2,0),IFERROR(VLOOKUP($B268,'Privacy Analyst Evaluation'!$A$46:$F$120,2,0),""))&amp;""</f>
        <v/>
      </c>
      <c r="D268" s="210" t="str">
        <f>IFERROR(VLOOKUP($B268,'Institution Evaluation'!$A$55:$F$346,3,0),IFERROR(VLOOKUP($B268,'Privacy Analyst Evaluation'!$A$46:$F$120,3,0),""))&amp;""</f>
        <v/>
      </c>
      <c r="E268" s="210" t="str">
        <f>IFERROR(VLOOKUP($B268,'Institution Evaluation'!$A$55:$F$346,4,0),IFERROR(VLOOKUP($B268,'Privacy Analyst Evaluation'!$A$46:$F$120,4,0),""))&amp;""</f>
        <v/>
      </c>
      <c r="F268" s="210" t="str">
        <f>IFERROR(VLOOKUP($B268,'Institution Evaluation'!$A$55:$F$346,6,0),IFERROR(VLOOKUP($B268,'Privacy Analyst Evaluation'!$A$46:$F$120,6,0),""))&amp;""</f>
        <v/>
      </c>
      <c r="G268" s="211"/>
      <c r="H268" s="210" t="str">
        <f>IFERROR(IF($H267+1&gt;'(backend scoring)'!$Q$335,"",$H267+1),"")</f>
        <v/>
      </c>
      <c r="I268" s="210" t="str">
        <f>_xlfn.XLOOKUP($H268,'(backend scoring)'!$S$2:$S$333,'(backend scoring)'!$A$2:$A$333,"")</f>
        <v/>
      </c>
      <c r="J268" s="210" t="str">
        <f>IFERROR(VLOOKUP($I268,'Institution Evaluation'!$A$55:$F$346,2,0),IFERROR(VLOOKUP($I268,'Privacy Analyst Evaluation'!$A$46:$F$120,2,0),""))</f>
        <v/>
      </c>
      <c r="K268" s="210" t="str">
        <f>IFERROR(VLOOKUP($I268,'Institution Evaluation'!$A$55:$F$346,3,0),IFERROR(VLOOKUP($I268,'Privacy Analyst Evaluation'!$A$46:$F$120,3,0),""))&amp;""</f>
        <v/>
      </c>
      <c r="L268" s="210" t="str">
        <f>IFERROR(VLOOKUP($I268,'Institution Evaluation'!$A$55:$F$346,4,0),IFERROR(VLOOKUP($I268,'Privacy Analyst Evaluation'!$A$46:$F$120,4,0),""))&amp;""</f>
        <v/>
      </c>
      <c r="M268" s="210"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2">
      <c r="A269" s="210" t="str">
        <f>IFERROR(IF($A268+1&gt;'(backend scoring)'!$T$335,"",$A268+1),"")</f>
        <v/>
      </c>
      <c r="B269" s="210" t="str">
        <f>_xlfn.XLOOKUP($A269,'(backend scoring)'!$V$2:$V$333,'(backend scoring)'!$A$2:$A$333,"")</f>
        <v/>
      </c>
      <c r="C269" s="210" t="str">
        <f>IFERROR(VLOOKUP($B269,'Institution Evaluation'!$A$55:$F$346,2,0),IFERROR(VLOOKUP($B269,'Privacy Analyst Evaluation'!$A$46:$F$120,2,0),""))&amp;""</f>
        <v/>
      </c>
      <c r="D269" s="210" t="str">
        <f>IFERROR(VLOOKUP($B269,'Institution Evaluation'!$A$55:$F$346,3,0),IFERROR(VLOOKUP($B269,'Privacy Analyst Evaluation'!$A$46:$F$120,3,0),""))&amp;""</f>
        <v/>
      </c>
      <c r="E269" s="210" t="str">
        <f>IFERROR(VLOOKUP($B269,'Institution Evaluation'!$A$55:$F$346,4,0),IFERROR(VLOOKUP($B269,'Privacy Analyst Evaluation'!$A$46:$F$120,4,0),""))&amp;""</f>
        <v/>
      </c>
      <c r="F269" s="210" t="str">
        <f>IFERROR(VLOOKUP($B269,'Institution Evaluation'!$A$55:$F$346,6,0),IFERROR(VLOOKUP($B269,'Privacy Analyst Evaluation'!$A$46:$F$120,6,0),""))&amp;""</f>
        <v/>
      </c>
      <c r="G269" s="211"/>
      <c r="H269" s="210" t="str">
        <f>IFERROR(IF($H268+1&gt;'(backend scoring)'!$Q$335,"",$H268+1),"")</f>
        <v/>
      </c>
      <c r="I269" s="210" t="str">
        <f>_xlfn.XLOOKUP($H269,'(backend scoring)'!$S$2:$S$333,'(backend scoring)'!$A$2:$A$333,"")</f>
        <v/>
      </c>
      <c r="J269" s="210" t="str">
        <f>IFERROR(VLOOKUP($I269,'Institution Evaluation'!$A$55:$F$346,2,0),IFERROR(VLOOKUP($I269,'Privacy Analyst Evaluation'!$A$46:$F$120,2,0),""))</f>
        <v/>
      </c>
      <c r="K269" s="210" t="str">
        <f>IFERROR(VLOOKUP($I269,'Institution Evaluation'!$A$55:$F$346,3,0),IFERROR(VLOOKUP($I269,'Privacy Analyst Evaluation'!$A$46:$F$120,3,0),""))&amp;""</f>
        <v/>
      </c>
      <c r="L269" s="210" t="str">
        <f>IFERROR(VLOOKUP($I269,'Institution Evaluation'!$A$55:$F$346,4,0),IFERROR(VLOOKUP($I269,'Privacy Analyst Evaluation'!$A$46:$F$120,4,0),""))&amp;""</f>
        <v/>
      </c>
      <c r="M269" s="210"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2">
      <c r="A270" s="210" t="str">
        <f>IFERROR(IF($A269+1&gt;'(backend scoring)'!$T$335,"",$A269+1),"")</f>
        <v/>
      </c>
      <c r="B270" s="210" t="str">
        <f>_xlfn.XLOOKUP($A270,'(backend scoring)'!$V$2:$V$333,'(backend scoring)'!$A$2:$A$333,"")</f>
        <v/>
      </c>
      <c r="C270" s="210" t="str">
        <f>IFERROR(VLOOKUP($B270,'Institution Evaluation'!$A$55:$F$346,2,0),IFERROR(VLOOKUP($B270,'Privacy Analyst Evaluation'!$A$46:$F$120,2,0),""))&amp;""</f>
        <v/>
      </c>
      <c r="D270" s="210" t="str">
        <f>IFERROR(VLOOKUP($B270,'Institution Evaluation'!$A$55:$F$346,3,0),IFERROR(VLOOKUP($B270,'Privacy Analyst Evaluation'!$A$46:$F$120,3,0),""))&amp;""</f>
        <v/>
      </c>
      <c r="E270" s="210" t="str">
        <f>IFERROR(VLOOKUP($B270,'Institution Evaluation'!$A$55:$F$346,4,0),IFERROR(VLOOKUP($B270,'Privacy Analyst Evaluation'!$A$46:$F$120,4,0),""))&amp;""</f>
        <v/>
      </c>
      <c r="F270" s="210" t="str">
        <f>IFERROR(VLOOKUP($B270,'Institution Evaluation'!$A$55:$F$346,6,0),IFERROR(VLOOKUP($B270,'Privacy Analyst Evaluation'!$A$46:$F$120,6,0),""))&amp;""</f>
        <v/>
      </c>
      <c r="G270" s="211"/>
      <c r="H270" s="210" t="str">
        <f>IFERROR(IF($H269+1&gt;'(backend scoring)'!$Q$335,"",$H269+1),"")</f>
        <v/>
      </c>
      <c r="I270" s="210" t="str">
        <f>_xlfn.XLOOKUP($H270,'(backend scoring)'!$S$2:$S$333,'(backend scoring)'!$A$2:$A$333,"")</f>
        <v/>
      </c>
      <c r="J270" s="210" t="str">
        <f>IFERROR(VLOOKUP($I270,'Institution Evaluation'!$A$55:$F$346,2,0),IFERROR(VLOOKUP($I270,'Privacy Analyst Evaluation'!$A$46:$F$120,2,0),""))</f>
        <v/>
      </c>
      <c r="K270" s="210" t="str">
        <f>IFERROR(VLOOKUP($I270,'Institution Evaluation'!$A$55:$F$346,3,0),IFERROR(VLOOKUP($I270,'Privacy Analyst Evaluation'!$A$46:$F$120,3,0),""))&amp;""</f>
        <v/>
      </c>
      <c r="L270" s="210" t="str">
        <f>IFERROR(VLOOKUP($I270,'Institution Evaluation'!$A$55:$F$346,4,0),IFERROR(VLOOKUP($I270,'Privacy Analyst Evaluation'!$A$46:$F$120,4,0),""))&amp;""</f>
        <v/>
      </c>
      <c r="M270" s="210"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2">
      <c r="A271" s="210" t="str">
        <f>IFERROR(IF($A270+1&gt;'(backend scoring)'!$T$335,"",$A270+1),"")</f>
        <v/>
      </c>
      <c r="B271" s="210" t="str">
        <f>_xlfn.XLOOKUP($A271,'(backend scoring)'!$V$2:$V$333,'(backend scoring)'!$A$2:$A$333,"")</f>
        <v/>
      </c>
      <c r="C271" s="210" t="str">
        <f>IFERROR(VLOOKUP($B271,'Institution Evaluation'!$A$55:$F$346,2,0),IFERROR(VLOOKUP($B271,'Privacy Analyst Evaluation'!$A$46:$F$120,2,0),""))&amp;""</f>
        <v/>
      </c>
      <c r="D271" s="210" t="str">
        <f>IFERROR(VLOOKUP($B271,'Institution Evaluation'!$A$55:$F$346,3,0),IFERROR(VLOOKUP($B271,'Privacy Analyst Evaluation'!$A$46:$F$120,3,0),""))&amp;""</f>
        <v/>
      </c>
      <c r="E271" s="210" t="str">
        <f>IFERROR(VLOOKUP($B271,'Institution Evaluation'!$A$55:$F$346,4,0),IFERROR(VLOOKUP($B271,'Privacy Analyst Evaluation'!$A$46:$F$120,4,0),""))&amp;""</f>
        <v/>
      </c>
      <c r="F271" s="210" t="str">
        <f>IFERROR(VLOOKUP($B271,'Institution Evaluation'!$A$55:$F$346,6,0),IFERROR(VLOOKUP($B271,'Privacy Analyst Evaluation'!$A$46:$F$120,6,0),""))&amp;""</f>
        <v/>
      </c>
      <c r="G271" s="211"/>
      <c r="H271" s="210" t="str">
        <f>IFERROR(IF($H270+1&gt;'(backend scoring)'!$Q$335,"",$H270+1),"")</f>
        <v/>
      </c>
      <c r="I271" s="210" t="str">
        <f>_xlfn.XLOOKUP($H271,'(backend scoring)'!$S$2:$S$333,'(backend scoring)'!$A$2:$A$333,"")</f>
        <v/>
      </c>
      <c r="J271" s="210" t="str">
        <f>IFERROR(VLOOKUP($I271,'Institution Evaluation'!$A$55:$F$346,2,0),IFERROR(VLOOKUP($I271,'Privacy Analyst Evaluation'!$A$46:$F$120,2,0),""))</f>
        <v/>
      </c>
      <c r="K271" s="210" t="str">
        <f>IFERROR(VLOOKUP($I271,'Institution Evaluation'!$A$55:$F$346,3,0),IFERROR(VLOOKUP($I271,'Privacy Analyst Evaluation'!$A$46:$F$120,3,0),""))&amp;""</f>
        <v/>
      </c>
      <c r="L271" s="210" t="str">
        <f>IFERROR(VLOOKUP($I271,'Institution Evaluation'!$A$55:$F$346,4,0),IFERROR(VLOOKUP($I271,'Privacy Analyst Evaluation'!$A$46:$F$120,4,0),""))&amp;""</f>
        <v/>
      </c>
      <c r="M271" s="210"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2">
      <c r="A272" s="210" t="str">
        <f>IFERROR(IF($A271+1&gt;'(backend scoring)'!$T$335,"",$A271+1),"")</f>
        <v/>
      </c>
      <c r="B272" s="210" t="str">
        <f>_xlfn.XLOOKUP($A272,'(backend scoring)'!$V$2:$V$333,'(backend scoring)'!$A$2:$A$333,"")</f>
        <v/>
      </c>
      <c r="C272" s="210" t="str">
        <f>IFERROR(VLOOKUP($B272,'Institution Evaluation'!$A$55:$F$346,2,0),IFERROR(VLOOKUP($B272,'Privacy Analyst Evaluation'!$A$46:$F$120,2,0),""))&amp;""</f>
        <v/>
      </c>
      <c r="D272" s="210" t="str">
        <f>IFERROR(VLOOKUP($B272,'Institution Evaluation'!$A$55:$F$346,3,0),IFERROR(VLOOKUP($B272,'Privacy Analyst Evaluation'!$A$46:$F$120,3,0),""))&amp;""</f>
        <v/>
      </c>
      <c r="E272" s="210" t="str">
        <f>IFERROR(VLOOKUP($B272,'Institution Evaluation'!$A$55:$F$346,4,0),IFERROR(VLOOKUP($B272,'Privacy Analyst Evaluation'!$A$46:$F$120,4,0),""))&amp;""</f>
        <v/>
      </c>
      <c r="F272" s="210" t="str">
        <f>IFERROR(VLOOKUP($B272,'Institution Evaluation'!$A$55:$F$346,6,0),IFERROR(VLOOKUP($B272,'Privacy Analyst Evaluation'!$A$46:$F$120,6,0),""))&amp;""</f>
        <v/>
      </c>
      <c r="G272" s="211"/>
      <c r="H272" s="210" t="str">
        <f>IFERROR(IF($H271+1&gt;'(backend scoring)'!$Q$335,"",$H271+1),"")</f>
        <v/>
      </c>
      <c r="I272" s="210" t="str">
        <f>_xlfn.XLOOKUP($H272,'(backend scoring)'!$S$2:$S$333,'(backend scoring)'!$A$2:$A$333,"")</f>
        <v/>
      </c>
      <c r="J272" s="210" t="str">
        <f>IFERROR(VLOOKUP($I272,'Institution Evaluation'!$A$55:$F$346,2,0),IFERROR(VLOOKUP($I272,'Privacy Analyst Evaluation'!$A$46:$F$120,2,0),""))</f>
        <v/>
      </c>
      <c r="K272" s="210" t="str">
        <f>IFERROR(VLOOKUP($I272,'Institution Evaluation'!$A$55:$F$346,3,0),IFERROR(VLOOKUP($I272,'Privacy Analyst Evaluation'!$A$46:$F$120,3,0),""))&amp;""</f>
        <v/>
      </c>
      <c r="L272" s="210" t="str">
        <f>IFERROR(VLOOKUP($I272,'Institution Evaluation'!$A$55:$F$346,4,0),IFERROR(VLOOKUP($I272,'Privacy Analyst Evaluation'!$A$46:$F$120,4,0),""))&amp;""</f>
        <v/>
      </c>
      <c r="M272" s="210"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2">
      <c r="A273" s="210" t="str">
        <f>IFERROR(IF($A272+1&gt;'(backend scoring)'!$T$335,"",$A272+1),"")</f>
        <v/>
      </c>
      <c r="B273" s="210" t="str">
        <f>_xlfn.XLOOKUP($A273,'(backend scoring)'!$V$2:$V$333,'(backend scoring)'!$A$2:$A$333,"")</f>
        <v/>
      </c>
      <c r="C273" s="210" t="str">
        <f>IFERROR(VLOOKUP($B273,'Institution Evaluation'!$A$55:$F$346,2,0),IFERROR(VLOOKUP($B273,'Privacy Analyst Evaluation'!$A$46:$F$120,2,0),""))&amp;""</f>
        <v/>
      </c>
      <c r="D273" s="210" t="str">
        <f>IFERROR(VLOOKUP($B273,'Institution Evaluation'!$A$55:$F$346,3,0),IFERROR(VLOOKUP($B273,'Privacy Analyst Evaluation'!$A$46:$F$120,3,0),""))&amp;""</f>
        <v/>
      </c>
      <c r="E273" s="210" t="str">
        <f>IFERROR(VLOOKUP($B273,'Institution Evaluation'!$A$55:$F$346,4,0),IFERROR(VLOOKUP($B273,'Privacy Analyst Evaluation'!$A$46:$F$120,4,0),""))&amp;""</f>
        <v/>
      </c>
      <c r="F273" s="210" t="str">
        <f>IFERROR(VLOOKUP($B273,'Institution Evaluation'!$A$55:$F$346,6,0),IFERROR(VLOOKUP($B273,'Privacy Analyst Evaluation'!$A$46:$F$120,6,0),""))&amp;""</f>
        <v/>
      </c>
      <c r="G273" s="211"/>
      <c r="H273" s="210" t="str">
        <f>IFERROR(IF($H272+1&gt;'(backend scoring)'!$Q$335,"",$H272+1),"")</f>
        <v/>
      </c>
      <c r="I273" s="210" t="str">
        <f>_xlfn.XLOOKUP($H273,'(backend scoring)'!$S$2:$S$333,'(backend scoring)'!$A$2:$A$333,"")</f>
        <v/>
      </c>
      <c r="J273" s="210" t="str">
        <f>IFERROR(VLOOKUP($I273,'Institution Evaluation'!$A$55:$F$346,2,0),IFERROR(VLOOKUP($I273,'Privacy Analyst Evaluation'!$A$46:$F$120,2,0),""))</f>
        <v/>
      </c>
      <c r="K273" s="210" t="str">
        <f>IFERROR(VLOOKUP($I273,'Institution Evaluation'!$A$55:$F$346,3,0),IFERROR(VLOOKUP($I273,'Privacy Analyst Evaluation'!$A$46:$F$120,3,0),""))&amp;""</f>
        <v/>
      </c>
      <c r="L273" s="210" t="str">
        <f>IFERROR(VLOOKUP($I273,'Institution Evaluation'!$A$55:$F$346,4,0),IFERROR(VLOOKUP($I273,'Privacy Analyst Evaluation'!$A$46:$F$120,4,0),""))&amp;""</f>
        <v/>
      </c>
      <c r="M273" s="210"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2">
      <c r="A274" s="210" t="str">
        <f>IFERROR(IF($A273+1&gt;'(backend scoring)'!$T$335,"",$A273+1),"")</f>
        <v/>
      </c>
      <c r="B274" s="210" t="str">
        <f>_xlfn.XLOOKUP($A274,'(backend scoring)'!$V$2:$V$333,'(backend scoring)'!$A$2:$A$333,"")</f>
        <v/>
      </c>
      <c r="C274" s="210" t="str">
        <f>IFERROR(VLOOKUP($B274,'Institution Evaluation'!$A$55:$F$346,2,0),IFERROR(VLOOKUP($B274,'Privacy Analyst Evaluation'!$A$46:$F$120,2,0),""))&amp;""</f>
        <v/>
      </c>
      <c r="D274" s="210" t="str">
        <f>IFERROR(VLOOKUP($B274,'Institution Evaluation'!$A$55:$F$346,3,0),IFERROR(VLOOKUP($B274,'Privacy Analyst Evaluation'!$A$46:$F$120,3,0),""))&amp;""</f>
        <v/>
      </c>
      <c r="E274" s="210" t="str">
        <f>IFERROR(VLOOKUP($B274,'Institution Evaluation'!$A$55:$F$346,4,0),IFERROR(VLOOKUP($B274,'Privacy Analyst Evaluation'!$A$46:$F$120,4,0),""))&amp;""</f>
        <v/>
      </c>
      <c r="F274" s="210" t="str">
        <f>IFERROR(VLOOKUP($B274,'Institution Evaluation'!$A$55:$F$346,6,0),IFERROR(VLOOKUP($B274,'Privacy Analyst Evaluation'!$A$46:$F$120,6,0),""))&amp;""</f>
        <v/>
      </c>
      <c r="G274" s="211"/>
      <c r="H274" s="210" t="str">
        <f>IFERROR(IF($H273+1&gt;'(backend scoring)'!$Q$335,"",$H273+1),"")</f>
        <v/>
      </c>
      <c r="I274" s="210" t="str">
        <f>_xlfn.XLOOKUP($H274,'(backend scoring)'!$S$2:$S$333,'(backend scoring)'!$A$2:$A$333,"")</f>
        <v/>
      </c>
      <c r="J274" s="210" t="str">
        <f>IFERROR(VLOOKUP($I274,'Institution Evaluation'!$A$55:$F$346,2,0),IFERROR(VLOOKUP($I274,'Privacy Analyst Evaluation'!$A$46:$F$120,2,0),""))</f>
        <v/>
      </c>
      <c r="K274" s="210" t="str">
        <f>IFERROR(VLOOKUP($I274,'Institution Evaluation'!$A$55:$F$346,3,0),IFERROR(VLOOKUP($I274,'Privacy Analyst Evaluation'!$A$46:$F$120,3,0),""))&amp;""</f>
        <v/>
      </c>
      <c r="L274" s="210" t="str">
        <f>IFERROR(VLOOKUP($I274,'Institution Evaluation'!$A$55:$F$346,4,0),IFERROR(VLOOKUP($I274,'Privacy Analyst Evaluation'!$A$46:$F$120,4,0),""))&amp;""</f>
        <v/>
      </c>
      <c r="M274" s="210"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2">
      <c r="A275" s="210" t="str">
        <f>IFERROR(IF($A274+1&gt;'(backend scoring)'!$T$335,"",$A274+1),"")</f>
        <v/>
      </c>
      <c r="B275" s="210" t="str">
        <f>_xlfn.XLOOKUP($A275,'(backend scoring)'!$V$2:$V$333,'(backend scoring)'!$A$2:$A$333,"")</f>
        <v/>
      </c>
      <c r="C275" s="210" t="str">
        <f>IFERROR(VLOOKUP($B275,'Institution Evaluation'!$A$55:$F$346,2,0),IFERROR(VLOOKUP($B275,'Privacy Analyst Evaluation'!$A$46:$F$120,2,0),""))&amp;""</f>
        <v/>
      </c>
      <c r="D275" s="210" t="str">
        <f>IFERROR(VLOOKUP($B275,'Institution Evaluation'!$A$55:$F$346,3,0),IFERROR(VLOOKUP($B275,'Privacy Analyst Evaluation'!$A$46:$F$120,3,0),""))&amp;""</f>
        <v/>
      </c>
      <c r="E275" s="210" t="str">
        <f>IFERROR(VLOOKUP($B275,'Institution Evaluation'!$A$55:$F$346,4,0),IFERROR(VLOOKUP($B275,'Privacy Analyst Evaluation'!$A$46:$F$120,4,0),""))&amp;""</f>
        <v/>
      </c>
      <c r="F275" s="210" t="str">
        <f>IFERROR(VLOOKUP($B275,'Institution Evaluation'!$A$55:$F$346,6,0),IFERROR(VLOOKUP($B275,'Privacy Analyst Evaluation'!$A$46:$F$120,6,0),""))&amp;""</f>
        <v/>
      </c>
      <c r="G275" s="211"/>
      <c r="H275" s="210" t="str">
        <f>IFERROR(IF($H274+1&gt;'(backend scoring)'!$Q$335,"",$H274+1),"")</f>
        <v/>
      </c>
      <c r="I275" s="210" t="str">
        <f>_xlfn.XLOOKUP($H275,'(backend scoring)'!$S$2:$S$333,'(backend scoring)'!$A$2:$A$333,"")</f>
        <v/>
      </c>
      <c r="J275" s="210" t="str">
        <f>IFERROR(VLOOKUP($I275,'Institution Evaluation'!$A$55:$F$346,2,0),IFERROR(VLOOKUP($I275,'Privacy Analyst Evaluation'!$A$46:$F$120,2,0),""))</f>
        <v/>
      </c>
      <c r="K275" s="210" t="str">
        <f>IFERROR(VLOOKUP($I275,'Institution Evaluation'!$A$55:$F$346,3,0),IFERROR(VLOOKUP($I275,'Privacy Analyst Evaluation'!$A$46:$F$120,3,0),""))&amp;""</f>
        <v/>
      </c>
      <c r="L275" s="210" t="str">
        <f>IFERROR(VLOOKUP($I275,'Institution Evaluation'!$A$55:$F$346,4,0),IFERROR(VLOOKUP($I275,'Privacy Analyst Evaluation'!$A$46:$F$120,4,0),""))&amp;""</f>
        <v/>
      </c>
      <c r="M275" s="210"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2">
      <c r="A276" s="210" t="str">
        <f>IFERROR(IF($A275+1&gt;'(backend scoring)'!$T$335,"",$A275+1),"")</f>
        <v/>
      </c>
      <c r="B276" s="210" t="str">
        <f>_xlfn.XLOOKUP($A276,'(backend scoring)'!$V$2:$V$333,'(backend scoring)'!$A$2:$A$333,"")</f>
        <v/>
      </c>
      <c r="C276" s="210" t="str">
        <f>IFERROR(VLOOKUP($B276,'Institution Evaluation'!$A$55:$F$346,2,0),IFERROR(VLOOKUP($B276,'Privacy Analyst Evaluation'!$A$46:$F$120,2,0),""))&amp;""</f>
        <v/>
      </c>
      <c r="D276" s="210" t="str">
        <f>IFERROR(VLOOKUP($B276,'Institution Evaluation'!$A$55:$F$346,3,0),IFERROR(VLOOKUP($B276,'Privacy Analyst Evaluation'!$A$46:$F$120,3,0),""))&amp;""</f>
        <v/>
      </c>
      <c r="E276" s="210" t="str">
        <f>IFERROR(VLOOKUP($B276,'Institution Evaluation'!$A$55:$F$346,4,0),IFERROR(VLOOKUP($B276,'Privacy Analyst Evaluation'!$A$46:$F$120,4,0),""))&amp;""</f>
        <v/>
      </c>
      <c r="F276" s="210" t="str">
        <f>IFERROR(VLOOKUP($B276,'Institution Evaluation'!$A$55:$F$346,6,0),IFERROR(VLOOKUP($B276,'Privacy Analyst Evaluation'!$A$46:$F$120,6,0),""))&amp;""</f>
        <v/>
      </c>
      <c r="G276" s="211"/>
      <c r="H276" s="210" t="str">
        <f>IFERROR(IF($H275+1&gt;'(backend scoring)'!$Q$335,"",$H275+1),"")</f>
        <v/>
      </c>
      <c r="I276" s="210" t="str">
        <f>_xlfn.XLOOKUP($H276,'(backend scoring)'!$S$2:$S$333,'(backend scoring)'!$A$2:$A$333,"")</f>
        <v/>
      </c>
      <c r="J276" s="210" t="str">
        <f>IFERROR(VLOOKUP($I276,'Institution Evaluation'!$A$55:$F$346,2,0),IFERROR(VLOOKUP($I276,'Privacy Analyst Evaluation'!$A$46:$F$120,2,0),""))</f>
        <v/>
      </c>
      <c r="K276" s="210" t="str">
        <f>IFERROR(VLOOKUP($I276,'Institution Evaluation'!$A$55:$F$346,3,0),IFERROR(VLOOKUP($I276,'Privacy Analyst Evaluation'!$A$46:$F$120,3,0),""))&amp;""</f>
        <v/>
      </c>
      <c r="L276" s="210" t="str">
        <f>IFERROR(VLOOKUP($I276,'Institution Evaluation'!$A$55:$F$346,4,0),IFERROR(VLOOKUP($I276,'Privacy Analyst Evaluation'!$A$46:$F$120,4,0),""))&amp;""</f>
        <v/>
      </c>
      <c r="M276" s="210"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2">
      <c r="A277" s="210" t="str">
        <f>IFERROR(IF($A276+1&gt;'(backend scoring)'!$T$335,"",$A276+1),"")</f>
        <v/>
      </c>
      <c r="B277" s="210" t="str">
        <f>_xlfn.XLOOKUP($A277,'(backend scoring)'!$V$2:$V$333,'(backend scoring)'!$A$2:$A$333,"")</f>
        <v/>
      </c>
      <c r="C277" s="210" t="str">
        <f>IFERROR(VLOOKUP($B277,'Institution Evaluation'!$A$55:$F$346,2,0),IFERROR(VLOOKUP($B277,'Privacy Analyst Evaluation'!$A$46:$F$120,2,0),""))&amp;""</f>
        <v/>
      </c>
      <c r="D277" s="210" t="str">
        <f>IFERROR(VLOOKUP($B277,'Institution Evaluation'!$A$55:$F$346,3,0),IFERROR(VLOOKUP($B277,'Privacy Analyst Evaluation'!$A$46:$F$120,3,0),""))&amp;""</f>
        <v/>
      </c>
      <c r="E277" s="210" t="str">
        <f>IFERROR(VLOOKUP($B277,'Institution Evaluation'!$A$55:$F$346,4,0),IFERROR(VLOOKUP($B277,'Privacy Analyst Evaluation'!$A$46:$F$120,4,0),""))&amp;""</f>
        <v/>
      </c>
      <c r="F277" s="210" t="str">
        <f>IFERROR(VLOOKUP($B277,'Institution Evaluation'!$A$55:$F$346,6,0),IFERROR(VLOOKUP($B277,'Privacy Analyst Evaluation'!$A$46:$F$120,6,0),""))&amp;""</f>
        <v/>
      </c>
      <c r="G277" s="211"/>
      <c r="H277" s="210" t="str">
        <f>IFERROR(IF($H276+1&gt;'(backend scoring)'!$Q$335,"",$H276+1),"")</f>
        <v/>
      </c>
      <c r="I277" s="210" t="str">
        <f>_xlfn.XLOOKUP($H277,'(backend scoring)'!$S$2:$S$333,'(backend scoring)'!$A$2:$A$333,"")</f>
        <v/>
      </c>
      <c r="J277" s="210" t="str">
        <f>IFERROR(VLOOKUP($I277,'Institution Evaluation'!$A$55:$F$346,2,0),IFERROR(VLOOKUP($I277,'Privacy Analyst Evaluation'!$A$46:$F$120,2,0),""))</f>
        <v/>
      </c>
      <c r="K277" s="210" t="str">
        <f>IFERROR(VLOOKUP($I277,'Institution Evaluation'!$A$55:$F$346,3,0),IFERROR(VLOOKUP($I277,'Privacy Analyst Evaluation'!$A$46:$F$120,3,0),""))&amp;""</f>
        <v/>
      </c>
      <c r="L277" s="210" t="str">
        <f>IFERROR(VLOOKUP($I277,'Institution Evaluation'!$A$55:$F$346,4,0),IFERROR(VLOOKUP($I277,'Privacy Analyst Evaluation'!$A$46:$F$120,4,0),""))&amp;""</f>
        <v/>
      </c>
      <c r="M277" s="210"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2">
      <c r="A278" s="210" t="str">
        <f>IFERROR(IF($A277+1&gt;'(backend scoring)'!$T$335,"",$A277+1),"")</f>
        <v/>
      </c>
      <c r="B278" s="210" t="str">
        <f>_xlfn.XLOOKUP($A278,'(backend scoring)'!$V$2:$V$333,'(backend scoring)'!$A$2:$A$333,"")</f>
        <v/>
      </c>
      <c r="C278" s="210" t="str">
        <f>IFERROR(VLOOKUP($B278,'Institution Evaluation'!$A$55:$F$346,2,0),IFERROR(VLOOKUP($B278,'Privacy Analyst Evaluation'!$A$46:$F$120,2,0),""))&amp;""</f>
        <v/>
      </c>
      <c r="D278" s="210" t="str">
        <f>IFERROR(VLOOKUP($B278,'Institution Evaluation'!$A$55:$F$346,3,0),IFERROR(VLOOKUP($B278,'Privacy Analyst Evaluation'!$A$46:$F$120,3,0),""))&amp;""</f>
        <v/>
      </c>
      <c r="E278" s="210" t="str">
        <f>IFERROR(VLOOKUP($B278,'Institution Evaluation'!$A$55:$F$346,4,0),IFERROR(VLOOKUP($B278,'Privacy Analyst Evaluation'!$A$46:$F$120,4,0),""))&amp;""</f>
        <v/>
      </c>
      <c r="F278" s="210" t="str">
        <f>IFERROR(VLOOKUP($B278,'Institution Evaluation'!$A$55:$F$346,6,0),IFERROR(VLOOKUP($B278,'Privacy Analyst Evaluation'!$A$46:$F$120,6,0),""))&amp;""</f>
        <v/>
      </c>
      <c r="G278" s="211"/>
      <c r="H278" s="210" t="str">
        <f>IFERROR(IF($H277+1&gt;'(backend scoring)'!$Q$335,"",$H277+1),"")</f>
        <v/>
      </c>
      <c r="I278" s="210" t="str">
        <f>_xlfn.XLOOKUP($H278,'(backend scoring)'!$S$2:$S$333,'(backend scoring)'!$A$2:$A$333,"")</f>
        <v/>
      </c>
      <c r="J278" s="210" t="str">
        <f>IFERROR(VLOOKUP($I278,'Institution Evaluation'!$A$55:$F$346,2,0),IFERROR(VLOOKUP($I278,'Privacy Analyst Evaluation'!$A$46:$F$120,2,0),""))</f>
        <v/>
      </c>
      <c r="K278" s="210" t="str">
        <f>IFERROR(VLOOKUP($I278,'Institution Evaluation'!$A$55:$F$346,3,0),IFERROR(VLOOKUP($I278,'Privacy Analyst Evaluation'!$A$46:$F$120,3,0),""))&amp;""</f>
        <v/>
      </c>
      <c r="L278" s="210" t="str">
        <f>IFERROR(VLOOKUP($I278,'Institution Evaluation'!$A$55:$F$346,4,0),IFERROR(VLOOKUP($I278,'Privacy Analyst Evaluation'!$A$46:$F$120,4,0),""))&amp;""</f>
        <v/>
      </c>
      <c r="M278" s="210"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2">
      <c r="A279" s="210" t="str">
        <f>IFERROR(IF($A278+1&gt;'(backend scoring)'!$T$335,"",$A278+1),"")</f>
        <v/>
      </c>
      <c r="B279" s="210" t="str">
        <f>_xlfn.XLOOKUP($A279,'(backend scoring)'!$V$2:$V$333,'(backend scoring)'!$A$2:$A$333,"")</f>
        <v/>
      </c>
      <c r="C279" s="210" t="str">
        <f>IFERROR(VLOOKUP($B279,'Institution Evaluation'!$A$55:$F$346,2,0),IFERROR(VLOOKUP($B279,'Privacy Analyst Evaluation'!$A$46:$F$120,2,0),""))&amp;""</f>
        <v/>
      </c>
      <c r="D279" s="210" t="str">
        <f>IFERROR(VLOOKUP($B279,'Institution Evaluation'!$A$55:$F$346,3,0),IFERROR(VLOOKUP($B279,'Privacy Analyst Evaluation'!$A$46:$F$120,3,0),""))&amp;""</f>
        <v/>
      </c>
      <c r="E279" s="210" t="str">
        <f>IFERROR(VLOOKUP($B279,'Institution Evaluation'!$A$55:$F$346,4,0),IFERROR(VLOOKUP($B279,'Privacy Analyst Evaluation'!$A$46:$F$120,4,0),""))&amp;""</f>
        <v/>
      </c>
      <c r="F279" s="210" t="str">
        <f>IFERROR(VLOOKUP($B279,'Institution Evaluation'!$A$55:$F$346,6,0),IFERROR(VLOOKUP($B279,'Privacy Analyst Evaluation'!$A$46:$F$120,6,0),""))&amp;""</f>
        <v/>
      </c>
      <c r="G279" s="211"/>
      <c r="H279" s="210" t="str">
        <f>IFERROR(IF($H278+1&gt;'(backend scoring)'!$Q$335,"",$H278+1),"")</f>
        <v/>
      </c>
      <c r="I279" s="210" t="str">
        <f>_xlfn.XLOOKUP($H279,'(backend scoring)'!$S$2:$S$333,'(backend scoring)'!$A$2:$A$333,"")</f>
        <v/>
      </c>
      <c r="J279" s="210" t="str">
        <f>IFERROR(VLOOKUP($I279,'Institution Evaluation'!$A$55:$F$346,2,0),IFERROR(VLOOKUP($I279,'Privacy Analyst Evaluation'!$A$46:$F$120,2,0),""))</f>
        <v/>
      </c>
      <c r="K279" s="210" t="str">
        <f>IFERROR(VLOOKUP($I279,'Institution Evaluation'!$A$55:$F$346,3,0),IFERROR(VLOOKUP($I279,'Privacy Analyst Evaluation'!$A$46:$F$120,3,0),""))&amp;""</f>
        <v/>
      </c>
      <c r="L279" s="210" t="str">
        <f>IFERROR(VLOOKUP($I279,'Institution Evaluation'!$A$55:$F$346,4,0),IFERROR(VLOOKUP($I279,'Privacy Analyst Evaluation'!$A$46:$F$120,4,0),""))&amp;""</f>
        <v/>
      </c>
      <c r="M279" s="210"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2">
      <c r="A280" s="210" t="str">
        <f>IFERROR(IF($A279+1&gt;'(backend scoring)'!$T$335,"",$A279+1),"")</f>
        <v/>
      </c>
      <c r="B280" s="210" t="str">
        <f>_xlfn.XLOOKUP($A280,'(backend scoring)'!$V$2:$V$333,'(backend scoring)'!$A$2:$A$333,"")</f>
        <v/>
      </c>
      <c r="C280" s="210" t="str">
        <f>IFERROR(VLOOKUP($B280,'Institution Evaluation'!$A$55:$F$346,2,0),IFERROR(VLOOKUP($B280,'Privacy Analyst Evaluation'!$A$46:$F$120,2,0),""))&amp;""</f>
        <v/>
      </c>
      <c r="D280" s="210" t="str">
        <f>IFERROR(VLOOKUP($B280,'Institution Evaluation'!$A$55:$F$346,3,0),IFERROR(VLOOKUP($B280,'Privacy Analyst Evaluation'!$A$46:$F$120,3,0),""))&amp;""</f>
        <v/>
      </c>
      <c r="E280" s="210" t="str">
        <f>IFERROR(VLOOKUP($B280,'Institution Evaluation'!$A$55:$F$346,4,0),IFERROR(VLOOKUP($B280,'Privacy Analyst Evaluation'!$A$46:$F$120,4,0),""))&amp;""</f>
        <v/>
      </c>
      <c r="F280" s="210" t="str">
        <f>IFERROR(VLOOKUP($B280,'Institution Evaluation'!$A$55:$F$346,6,0),IFERROR(VLOOKUP($B280,'Privacy Analyst Evaluation'!$A$46:$F$120,6,0),""))&amp;""</f>
        <v/>
      </c>
      <c r="G280" s="211"/>
      <c r="H280" s="210" t="str">
        <f>IFERROR(IF($H279+1&gt;'(backend scoring)'!$Q$335,"",$H279+1),"")</f>
        <v/>
      </c>
      <c r="I280" s="210" t="str">
        <f>_xlfn.XLOOKUP($H280,'(backend scoring)'!$S$2:$S$333,'(backend scoring)'!$A$2:$A$333,"")</f>
        <v/>
      </c>
      <c r="J280" s="210" t="str">
        <f>IFERROR(VLOOKUP($I280,'Institution Evaluation'!$A$55:$F$346,2,0),IFERROR(VLOOKUP($I280,'Privacy Analyst Evaluation'!$A$46:$F$120,2,0),""))</f>
        <v/>
      </c>
      <c r="K280" s="210" t="str">
        <f>IFERROR(VLOOKUP($I280,'Institution Evaluation'!$A$55:$F$346,3,0),IFERROR(VLOOKUP($I280,'Privacy Analyst Evaluation'!$A$46:$F$120,3,0),""))&amp;""</f>
        <v/>
      </c>
      <c r="L280" s="210" t="str">
        <f>IFERROR(VLOOKUP($I280,'Institution Evaluation'!$A$55:$F$346,4,0),IFERROR(VLOOKUP($I280,'Privacy Analyst Evaluation'!$A$46:$F$120,4,0),""))&amp;""</f>
        <v/>
      </c>
      <c r="M280" s="210"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2">
      <c r="A281" s="210" t="str">
        <f>IFERROR(IF($A280+1&gt;'(backend scoring)'!$T$335,"",$A280+1),"")</f>
        <v/>
      </c>
      <c r="B281" s="210" t="str">
        <f>_xlfn.XLOOKUP($A281,'(backend scoring)'!$V$2:$V$333,'(backend scoring)'!$A$2:$A$333,"")</f>
        <v/>
      </c>
      <c r="C281" s="210" t="str">
        <f>IFERROR(VLOOKUP($B281,'Institution Evaluation'!$A$55:$F$346,2,0),IFERROR(VLOOKUP($B281,'Privacy Analyst Evaluation'!$A$46:$F$120,2,0),""))&amp;""</f>
        <v/>
      </c>
      <c r="D281" s="210" t="str">
        <f>IFERROR(VLOOKUP($B281,'Institution Evaluation'!$A$55:$F$346,3,0),IFERROR(VLOOKUP($B281,'Privacy Analyst Evaluation'!$A$46:$F$120,3,0),""))&amp;""</f>
        <v/>
      </c>
      <c r="E281" s="210" t="str">
        <f>IFERROR(VLOOKUP($B281,'Institution Evaluation'!$A$55:$F$346,4,0),IFERROR(VLOOKUP($B281,'Privacy Analyst Evaluation'!$A$46:$F$120,4,0),""))&amp;""</f>
        <v/>
      </c>
      <c r="F281" s="210" t="str">
        <f>IFERROR(VLOOKUP($B281,'Institution Evaluation'!$A$55:$F$346,6,0),IFERROR(VLOOKUP($B281,'Privacy Analyst Evaluation'!$A$46:$F$120,6,0),""))&amp;""</f>
        <v/>
      </c>
      <c r="G281" s="211"/>
      <c r="H281" s="210" t="str">
        <f>IFERROR(IF($H280+1&gt;'(backend scoring)'!$Q$335,"",$H280+1),"")</f>
        <v/>
      </c>
      <c r="I281" s="210" t="str">
        <f>_xlfn.XLOOKUP($H281,'(backend scoring)'!$S$2:$S$333,'(backend scoring)'!$A$2:$A$333,"")</f>
        <v/>
      </c>
      <c r="J281" s="210" t="str">
        <f>IFERROR(VLOOKUP($I281,'Institution Evaluation'!$A$55:$F$346,2,0),IFERROR(VLOOKUP($I281,'Privacy Analyst Evaluation'!$A$46:$F$120,2,0),""))</f>
        <v/>
      </c>
      <c r="K281" s="210" t="str">
        <f>IFERROR(VLOOKUP($I281,'Institution Evaluation'!$A$55:$F$346,3,0),IFERROR(VLOOKUP($I281,'Privacy Analyst Evaluation'!$A$46:$F$120,3,0),""))&amp;""</f>
        <v/>
      </c>
      <c r="L281" s="210" t="str">
        <f>IFERROR(VLOOKUP($I281,'Institution Evaluation'!$A$55:$F$346,4,0),IFERROR(VLOOKUP($I281,'Privacy Analyst Evaluation'!$A$46:$F$120,4,0),""))&amp;""</f>
        <v/>
      </c>
      <c r="M281" s="210"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2">
      <c r="A282" s="210" t="str">
        <f>IFERROR(IF($A281+1&gt;'(backend scoring)'!$T$335,"",$A281+1),"")</f>
        <v/>
      </c>
      <c r="B282" s="210" t="str">
        <f>_xlfn.XLOOKUP($A282,'(backend scoring)'!$V$2:$V$333,'(backend scoring)'!$A$2:$A$333,"")</f>
        <v/>
      </c>
      <c r="C282" s="210" t="str">
        <f>IFERROR(VLOOKUP($B282,'Institution Evaluation'!$A$55:$F$346,2,0),IFERROR(VLOOKUP($B282,'Privacy Analyst Evaluation'!$A$46:$F$120,2,0),""))&amp;""</f>
        <v/>
      </c>
      <c r="D282" s="210" t="str">
        <f>IFERROR(VLOOKUP($B282,'Institution Evaluation'!$A$55:$F$346,3,0),IFERROR(VLOOKUP($B282,'Privacy Analyst Evaluation'!$A$46:$F$120,3,0),""))&amp;""</f>
        <v/>
      </c>
      <c r="E282" s="210" t="str">
        <f>IFERROR(VLOOKUP($B282,'Institution Evaluation'!$A$55:$F$346,4,0),IFERROR(VLOOKUP($B282,'Privacy Analyst Evaluation'!$A$46:$F$120,4,0),""))&amp;""</f>
        <v/>
      </c>
      <c r="F282" s="210" t="str">
        <f>IFERROR(VLOOKUP($B282,'Institution Evaluation'!$A$55:$F$346,6,0),IFERROR(VLOOKUP($B282,'Privacy Analyst Evaluation'!$A$46:$F$120,6,0),""))&amp;""</f>
        <v/>
      </c>
      <c r="G282" s="211"/>
      <c r="H282" s="210" t="str">
        <f>IFERROR(IF($H281+1&gt;'(backend scoring)'!$Q$335,"",$H281+1),"")</f>
        <v/>
      </c>
      <c r="I282" s="210" t="str">
        <f>_xlfn.XLOOKUP($H282,'(backend scoring)'!$S$2:$S$333,'(backend scoring)'!$A$2:$A$333,"")</f>
        <v/>
      </c>
      <c r="J282" s="210" t="str">
        <f>IFERROR(VLOOKUP($I282,'Institution Evaluation'!$A$55:$F$346,2,0),IFERROR(VLOOKUP($I282,'Privacy Analyst Evaluation'!$A$46:$F$120,2,0),""))</f>
        <v/>
      </c>
      <c r="K282" s="210" t="str">
        <f>IFERROR(VLOOKUP($I282,'Institution Evaluation'!$A$55:$F$346,3,0),IFERROR(VLOOKUP($I282,'Privacy Analyst Evaluation'!$A$46:$F$120,3,0),""))&amp;""</f>
        <v/>
      </c>
      <c r="L282" s="210" t="str">
        <f>IFERROR(VLOOKUP($I282,'Institution Evaluation'!$A$55:$F$346,4,0),IFERROR(VLOOKUP($I282,'Privacy Analyst Evaluation'!$A$46:$F$120,4,0),""))&amp;""</f>
        <v/>
      </c>
      <c r="M282" s="210"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2">
      <c r="A283" s="210" t="str">
        <f>IFERROR(IF($A282+1&gt;'(backend scoring)'!$T$335,"",$A282+1),"")</f>
        <v/>
      </c>
      <c r="B283" s="210" t="str">
        <f>_xlfn.XLOOKUP($A283,'(backend scoring)'!$V$2:$V$333,'(backend scoring)'!$A$2:$A$333,"")</f>
        <v/>
      </c>
      <c r="C283" s="210" t="str">
        <f>IFERROR(VLOOKUP($B283,'Institution Evaluation'!$A$55:$F$346,2,0),IFERROR(VLOOKUP($B283,'Privacy Analyst Evaluation'!$A$46:$F$120,2,0),""))&amp;""</f>
        <v/>
      </c>
      <c r="D283" s="210" t="str">
        <f>IFERROR(VLOOKUP($B283,'Institution Evaluation'!$A$55:$F$346,3,0),IFERROR(VLOOKUP($B283,'Privacy Analyst Evaluation'!$A$46:$F$120,3,0),""))&amp;""</f>
        <v/>
      </c>
      <c r="E283" s="210" t="str">
        <f>IFERROR(VLOOKUP($B283,'Institution Evaluation'!$A$55:$F$346,4,0),IFERROR(VLOOKUP($B283,'Privacy Analyst Evaluation'!$A$46:$F$120,4,0),""))&amp;""</f>
        <v/>
      </c>
      <c r="F283" s="210" t="str">
        <f>IFERROR(VLOOKUP($B283,'Institution Evaluation'!$A$55:$F$346,6,0),IFERROR(VLOOKUP($B283,'Privacy Analyst Evaluation'!$A$46:$F$120,6,0),""))&amp;""</f>
        <v/>
      </c>
      <c r="G283" s="211"/>
      <c r="H283" s="210" t="str">
        <f>IFERROR(IF($H282+1&gt;'(backend scoring)'!$Q$335,"",$H282+1),"")</f>
        <v/>
      </c>
      <c r="I283" s="210" t="str">
        <f>_xlfn.XLOOKUP($H283,'(backend scoring)'!$S$2:$S$333,'(backend scoring)'!$A$2:$A$333,"")</f>
        <v/>
      </c>
      <c r="J283" s="210" t="str">
        <f>IFERROR(VLOOKUP($I283,'Institution Evaluation'!$A$55:$F$346,2,0),IFERROR(VLOOKUP($I283,'Privacy Analyst Evaluation'!$A$46:$F$120,2,0),""))</f>
        <v/>
      </c>
      <c r="K283" s="210" t="str">
        <f>IFERROR(VLOOKUP($I283,'Institution Evaluation'!$A$55:$F$346,3,0),IFERROR(VLOOKUP($I283,'Privacy Analyst Evaluation'!$A$46:$F$120,3,0),""))&amp;""</f>
        <v/>
      </c>
      <c r="L283" s="210" t="str">
        <f>IFERROR(VLOOKUP($I283,'Institution Evaluation'!$A$55:$F$346,4,0),IFERROR(VLOOKUP($I283,'Privacy Analyst Evaluation'!$A$46:$F$120,4,0),""))&amp;""</f>
        <v/>
      </c>
      <c r="M283" s="210"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2">
      <c r="A284" s="210" t="str">
        <f>IFERROR(IF($A283+1&gt;'(backend scoring)'!$T$335,"",$A283+1),"")</f>
        <v/>
      </c>
      <c r="B284" s="210" t="str">
        <f>_xlfn.XLOOKUP($A284,'(backend scoring)'!$V$2:$V$333,'(backend scoring)'!$A$2:$A$333,"")</f>
        <v/>
      </c>
      <c r="C284" s="210" t="str">
        <f>IFERROR(VLOOKUP($B284,'Institution Evaluation'!$A$55:$F$346,2,0),IFERROR(VLOOKUP($B284,'Privacy Analyst Evaluation'!$A$46:$F$120,2,0),""))&amp;""</f>
        <v/>
      </c>
      <c r="D284" s="210" t="str">
        <f>IFERROR(VLOOKUP($B284,'Institution Evaluation'!$A$55:$F$346,3,0),IFERROR(VLOOKUP($B284,'Privacy Analyst Evaluation'!$A$46:$F$120,3,0),""))&amp;""</f>
        <v/>
      </c>
      <c r="E284" s="210" t="str">
        <f>IFERROR(VLOOKUP($B284,'Institution Evaluation'!$A$55:$F$346,4,0),IFERROR(VLOOKUP($B284,'Privacy Analyst Evaluation'!$A$46:$F$120,4,0),""))&amp;""</f>
        <v/>
      </c>
      <c r="F284" s="210" t="str">
        <f>IFERROR(VLOOKUP($B284,'Institution Evaluation'!$A$55:$F$346,6,0),IFERROR(VLOOKUP($B284,'Privacy Analyst Evaluation'!$A$46:$F$120,6,0),""))&amp;""</f>
        <v/>
      </c>
      <c r="G284" s="211"/>
      <c r="H284" s="210" t="str">
        <f>IFERROR(IF($H283+1&gt;'(backend scoring)'!$Q$335,"",$H283+1),"")</f>
        <v/>
      </c>
      <c r="I284" s="210" t="str">
        <f>_xlfn.XLOOKUP($H284,'(backend scoring)'!$S$2:$S$333,'(backend scoring)'!$A$2:$A$333,"")</f>
        <v/>
      </c>
      <c r="J284" s="210" t="str">
        <f>IFERROR(VLOOKUP($I284,'Institution Evaluation'!$A$55:$F$346,2,0),IFERROR(VLOOKUP($I284,'Privacy Analyst Evaluation'!$A$46:$F$120,2,0),""))</f>
        <v/>
      </c>
      <c r="K284" s="210" t="str">
        <f>IFERROR(VLOOKUP($I284,'Institution Evaluation'!$A$55:$F$346,3,0),IFERROR(VLOOKUP($I284,'Privacy Analyst Evaluation'!$A$46:$F$120,3,0),""))&amp;""</f>
        <v/>
      </c>
      <c r="L284" s="210" t="str">
        <f>IFERROR(VLOOKUP($I284,'Institution Evaluation'!$A$55:$F$346,4,0),IFERROR(VLOOKUP($I284,'Privacy Analyst Evaluation'!$A$46:$F$120,4,0),""))&amp;""</f>
        <v/>
      </c>
      <c r="M284" s="210"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2">
      <c r="A285" s="210" t="str">
        <f>IFERROR(IF($A284+1&gt;'(backend scoring)'!$T$335,"",$A284+1),"")</f>
        <v/>
      </c>
      <c r="B285" s="210" t="str">
        <f>_xlfn.XLOOKUP($A285,'(backend scoring)'!$V$2:$V$333,'(backend scoring)'!$A$2:$A$333,"")</f>
        <v/>
      </c>
      <c r="C285" s="210" t="str">
        <f>IFERROR(VLOOKUP($B285,'Institution Evaluation'!$A$55:$F$346,2,0),IFERROR(VLOOKUP($B285,'Privacy Analyst Evaluation'!$A$46:$F$120,2,0),""))&amp;""</f>
        <v/>
      </c>
      <c r="D285" s="210" t="str">
        <f>IFERROR(VLOOKUP($B285,'Institution Evaluation'!$A$55:$F$346,3,0),IFERROR(VLOOKUP($B285,'Privacy Analyst Evaluation'!$A$46:$F$120,3,0),""))&amp;""</f>
        <v/>
      </c>
      <c r="E285" s="210" t="str">
        <f>IFERROR(VLOOKUP($B285,'Institution Evaluation'!$A$55:$F$346,4,0),IFERROR(VLOOKUP($B285,'Privacy Analyst Evaluation'!$A$46:$F$120,4,0),""))&amp;""</f>
        <v/>
      </c>
      <c r="F285" s="210" t="str">
        <f>IFERROR(VLOOKUP($B285,'Institution Evaluation'!$A$55:$F$346,6,0),IFERROR(VLOOKUP($B285,'Privacy Analyst Evaluation'!$A$46:$F$120,6,0),""))&amp;""</f>
        <v/>
      </c>
      <c r="G285" s="211"/>
      <c r="H285" s="210" t="str">
        <f>IFERROR(IF($H284+1&gt;'(backend scoring)'!$Q$335,"",$H284+1),"")</f>
        <v/>
      </c>
      <c r="I285" s="210" t="str">
        <f>_xlfn.XLOOKUP($H285,'(backend scoring)'!$S$2:$S$333,'(backend scoring)'!$A$2:$A$333,"")</f>
        <v/>
      </c>
      <c r="J285" s="210" t="str">
        <f>IFERROR(VLOOKUP($I285,'Institution Evaluation'!$A$55:$F$346,2,0),IFERROR(VLOOKUP($I285,'Privacy Analyst Evaluation'!$A$46:$F$120,2,0),""))</f>
        <v/>
      </c>
      <c r="K285" s="210" t="str">
        <f>IFERROR(VLOOKUP($I285,'Institution Evaluation'!$A$55:$F$346,3,0),IFERROR(VLOOKUP($I285,'Privacy Analyst Evaluation'!$A$46:$F$120,3,0),""))&amp;""</f>
        <v/>
      </c>
      <c r="L285" s="210" t="str">
        <f>IFERROR(VLOOKUP($I285,'Institution Evaluation'!$A$55:$F$346,4,0),IFERROR(VLOOKUP($I285,'Privacy Analyst Evaluation'!$A$46:$F$120,4,0),""))&amp;""</f>
        <v/>
      </c>
      <c r="M285" s="210"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2">
      <c r="A286" s="210" t="str">
        <f>IFERROR(IF($A285+1&gt;'(backend scoring)'!$T$335,"",$A285+1),"")</f>
        <v/>
      </c>
      <c r="B286" s="210" t="str">
        <f>_xlfn.XLOOKUP($A286,'(backend scoring)'!$V$2:$V$333,'(backend scoring)'!$A$2:$A$333,"")</f>
        <v/>
      </c>
      <c r="C286" s="210" t="str">
        <f>IFERROR(VLOOKUP($B286,'Institution Evaluation'!$A$55:$F$346,2,0),IFERROR(VLOOKUP($B286,'Privacy Analyst Evaluation'!$A$46:$F$120,2,0),""))&amp;""</f>
        <v/>
      </c>
      <c r="D286" s="210" t="str">
        <f>IFERROR(VLOOKUP($B286,'Institution Evaluation'!$A$55:$F$346,3,0),IFERROR(VLOOKUP($B286,'Privacy Analyst Evaluation'!$A$46:$F$120,3,0),""))&amp;""</f>
        <v/>
      </c>
      <c r="E286" s="210" t="str">
        <f>IFERROR(VLOOKUP($B286,'Institution Evaluation'!$A$55:$F$346,4,0),IFERROR(VLOOKUP($B286,'Privacy Analyst Evaluation'!$A$46:$F$120,4,0),""))&amp;""</f>
        <v/>
      </c>
      <c r="F286" s="210" t="str">
        <f>IFERROR(VLOOKUP($B286,'Institution Evaluation'!$A$55:$F$346,6,0),IFERROR(VLOOKUP($B286,'Privacy Analyst Evaluation'!$A$46:$F$120,6,0),""))&amp;""</f>
        <v/>
      </c>
      <c r="G286" s="211"/>
      <c r="H286" s="210" t="str">
        <f>IFERROR(IF($H285+1&gt;'(backend scoring)'!$Q$335,"",$H285+1),"")</f>
        <v/>
      </c>
      <c r="I286" s="210" t="str">
        <f>_xlfn.XLOOKUP($H286,'(backend scoring)'!$S$2:$S$333,'(backend scoring)'!$A$2:$A$333,"")</f>
        <v/>
      </c>
      <c r="J286" s="210" t="str">
        <f>IFERROR(VLOOKUP($I286,'Institution Evaluation'!$A$55:$F$346,2,0),IFERROR(VLOOKUP($I286,'Privacy Analyst Evaluation'!$A$46:$F$120,2,0),""))</f>
        <v/>
      </c>
      <c r="K286" s="210" t="str">
        <f>IFERROR(VLOOKUP($I286,'Institution Evaluation'!$A$55:$F$346,3,0),IFERROR(VLOOKUP($I286,'Privacy Analyst Evaluation'!$A$46:$F$120,3,0),""))&amp;""</f>
        <v/>
      </c>
      <c r="L286" s="210" t="str">
        <f>IFERROR(VLOOKUP($I286,'Institution Evaluation'!$A$55:$F$346,4,0),IFERROR(VLOOKUP($I286,'Privacy Analyst Evaluation'!$A$46:$F$120,4,0),""))&amp;""</f>
        <v/>
      </c>
      <c r="M286" s="210"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2">
      <c r="A287" s="210" t="str">
        <f>IFERROR(IF($A286+1&gt;'(backend scoring)'!$T$335,"",$A286+1),"")</f>
        <v/>
      </c>
      <c r="B287" s="210" t="str">
        <f>_xlfn.XLOOKUP($A287,'(backend scoring)'!$V$2:$V$333,'(backend scoring)'!$A$2:$A$333,"")</f>
        <v/>
      </c>
      <c r="C287" s="210" t="str">
        <f>IFERROR(VLOOKUP($B287,'Institution Evaluation'!$A$55:$F$346,2,0),IFERROR(VLOOKUP($B287,'Privacy Analyst Evaluation'!$A$46:$F$120,2,0),""))&amp;""</f>
        <v/>
      </c>
      <c r="D287" s="210" t="str">
        <f>IFERROR(VLOOKUP($B287,'Institution Evaluation'!$A$55:$F$346,3,0),IFERROR(VLOOKUP($B287,'Privacy Analyst Evaluation'!$A$46:$F$120,3,0),""))&amp;""</f>
        <v/>
      </c>
      <c r="E287" s="210" t="str">
        <f>IFERROR(VLOOKUP($B287,'Institution Evaluation'!$A$55:$F$346,4,0),IFERROR(VLOOKUP($B287,'Privacy Analyst Evaluation'!$A$46:$F$120,4,0),""))&amp;""</f>
        <v/>
      </c>
      <c r="F287" s="210" t="str">
        <f>IFERROR(VLOOKUP($B287,'Institution Evaluation'!$A$55:$F$346,6,0),IFERROR(VLOOKUP($B287,'Privacy Analyst Evaluation'!$A$46:$F$120,6,0),""))&amp;""</f>
        <v/>
      </c>
      <c r="G287" s="211"/>
      <c r="H287" s="210" t="str">
        <f>IFERROR(IF($H286+1&gt;'(backend scoring)'!$Q$335,"",$H286+1),"")</f>
        <v/>
      </c>
      <c r="I287" s="210" t="str">
        <f>_xlfn.XLOOKUP($H287,'(backend scoring)'!$S$2:$S$333,'(backend scoring)'!$A$2:$A$333,"")</f>
        <v/>
      </c>
      <c r="J287" s="210" t="str">
        <f>IFERROR(VLOOKUP($I287,'Institution Evaluation'!$A$55:$F$346,2,0),IFERROR(VLOOKUP($I287,'Privacy Analyst Evaluation'!$A$46:$F$120,2,0),""))</f>
        <v/>
      </c>
      <c r="K287" s="210" t="str">
        <f>IFERROR(VLOOKUP($I287,'Institution Evaluation'!$A$55:$F$346,3,0),IFERROR(VLOOKUP($I287,'Privacy Analyst Evaluation'!$A$46:$F$120,3,0),""))&amp;""</f>
        <v/>
      </c>
      <c r="L287" s="210" t="str">
        <f>IFERROR(VLOOKUP($I287,'Institution Evaluation'!$A$55:$F$346,4,0),IFERROR(VLOOKUP($I287,'Privacy Analyst Evaluation'!$A$46:$F$120,4,0),""))&amp;""</f>
        <v/>
      </c>
      <c r="M287" s="210"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2">
      <c r="A288" s="210" t="str">
        <f>IFERROR(IF($A287+1&gt;'(backend scoring)'!$T$335,"",$A287+1),"")</f>
        <v/>
      </c>
      <c r="B288" s="210" t="str">
        <f>_xlfn.XLOOKUP($A288,'(backend scoring)'!$V$2:$V$333,'(backend scoring)'!$A$2:$A$333,"")</f>
        <v/>
      </c>
      <c r="C288" s="210" t="str">
        <f>IFERROR(VLOOKUP($B288,'Institution Evaluation'!$A$55:$F$346,2,0),IFERROR(VLOOKUP($B288,'Privacy Analyst Evaluation'!$A$46:$F$120,2,0),""))&amp;""</f>
        <v/>
      </c>
      <c r="D288" s="210" t="str">
        <f>IFERROR(VLOOKUP($B288,'Institution Evaluation'!$A$55:$F$346,3,0),IFERROR(VLOOKUP($B288,'Privacy Analyst Evaluation'!$A$46:$F$120,3,0),""))&amp;""</f>
        <v/>
      </c>
      <c r="E288" s="210" t="str">
        <f>IFERROR(VLOOKUP($B288,'Institution Evaluation'!$A$55:$F$346,4,0),IFERROR(VLOOKUP($B288,'Privacy Analyst Evaluation'!$A$46:$F$120,4,0),""))&amp;""</f>
        <v/>
      </c>
      <c r="F288" s="210" t="str">
        <f>IFERROR(VLOOKUP($B288,'Institution Evaluation'!$A$55:$F$346,6,0),IFERROR(VLOOKUP($B288,'Privacy Analyst Evaluation'!$A$46:$F$120,6,0),""))&amp;""</f>
        <v/>
      </c>
      <c r="G288" s="211"/>
      <c r="H288" s="210" t="str">
        <f>IFERROR(IF($H287+1&gt;'(backend scoring)'!$Q$335,"",$H287+1),"")</f>
        <v/>
      </c>
      <c r="I288" s="210" t="str">
        <f>_xlfn.XLOOKUP($H288,'(backend scoring)'!$S$2:$S$333,'(backend scoring)'!$A$2:$A$333,"")</f>
        <v/>
      </c>
      <c r="J288" s="210" t="str">
        <f>IFERROR(VLOOKUP($I288,'Institution Evaluation'!$A$55:$F$346,2,0),IFERROR(VLOOKUP($I288,'Privacy Analyst Evaluation'!$A$46:$F$120,2,0),""))</f>
        <v/>
      </c>
      <c r="K288" s="210" t="str">
        <f>IFERROR(VLOOKUP($I288,'Institution Evaluation'!$A$55:$F$346,3,0),IFERROR(VLOOKUP($I288,'Privacy Analyst Evaluation'!$A$46:$F$120,3,0),""))&amp;""</f>
        <v/>
      </c>
      <c r="L288" s="210" t="str">
        <f>IFERROR(VLOOKUP($I288,'Institution Evaluation'!$A$55:$F$346,4,0),IFERROR(VLOOKUP($I288,'Privacy Analyst Evaluation'!$A$46:$F$120,4,0),""))&amp;""</f>
        <v/>
      </c>
      <c r="M288" s="210"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2">
      <c r="A289" s="210" t="str">
        <f>IFERROR(IF($A288+1&gt;'(backend scoring)'!$T$335,"",$A288+1),"")</f>
        <v/>
      </c>
      <c r="B289" s="210" t="str">
        <f>_xlfn.XLOOKUP($A289,'(backend scoring)'!$V$2:$V$333,'(backend scoring)'!$A$2:$A$333,"")</f>
        <v/>
      </c>
      <c r="C289" s="210" t="str">
        <f>IFERROR(VLOOKUP($B289,'Institution Evaluation'!$A$55:$F$346,2,0),IFERROR(VLOOKUP($B289,'Privacy Analyst Evaluation'!$A$46:$F$120,2,0),""))&amp;""</f>
        <v/>
      </c>
      <c r="D289" s="210" t="str">
        <f>IFERROR(VLOOKUP($B289,'Institution Evaluation'!$A$55:$F$346,3,0),IFERROR(VLOOKUP($B289,'Privacy Analyst Evaluation'!$A$46:$F$120,3,0),""))&amp;""</f>
        <v/>
      </c>
      <c r="E289" s="210" t="str">
        <f>IFERROR(VLOOKUP($B289,'Institution Evaluation'!$A$55:$F$346,4,0),IFERROR(VLOOKUP($B289,'Privacy Analyst Evaluation'!$A$46:$F$120,4,0),""))&amp;""</f>
        <v/>
      </c>
      <c r="F289" s="210" t="str">
        <f>IFERROR(VLOOKUP($B289,'Institution Evaluation'!$A$55:$F$346,6,0),IFERROR(VLOOKUP($B289,'Privacy Analyst Evaluation'!$A$46:$F$120,6,0),""))&amp;""</f>
        <v/>
      </c>
      <c r="G289" s="211"/>
      <c r="H289" s="210" t="str">
        <f>IFERROR(IF($H288+1&gt;'(backend scoring)'!$Q$335,"",$H288+1),"")</f>
        <v/>
      </c>
      <c r="I289" s="210" t="str">
        <f>_xlfn.XLOOKUP($H289,'(backend scoring)'!$S$2:$S$333,'(backend scoring)'!$A$2:$A$333,"")</f>
        <v/>
      </c>
      <c r="J289" s="210" t="str">
        <f>IFERROR(VLOOKUP($I289,'Institution Evaluation'!$A$55:$F$346,2,0),IFERROR(VLOOKUP($I289,'Privacy Analyst Evaluation'!$A$46:$F$120,2,0),""))</f>
        <v/>
      </c>
      <c r="K289" s="210" t="str">
        <f>IFERROR(VLOOKUP($I289,'Institution Evaluation'!$A$55:$F$346,3,0),IFERROR(VLOOKUP($I289,'Privacy Analyst Evaluation'!$A$46:$F$120,3,0),""))&amp;""</f>
        <v/>
      </c>
      <c r="L289" s="210" t="str">
        <f>IFERROR(VLOOKUP($I289,'Institution Evaluation'!$A$55:$F$346,4,0),IFERROR(VLOOKUP($I289,'Privacy Analyst Evaluation'!$A$46:$F$120,4,0),""))&amp;""</f>
        <v/>
      </c>
      <c r="M289" s="210"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2">
      <c r="A290" s="210" t="str">
        <f>IFERROR(IF($A289+1&gt;'(backend scoring)'!$T$335,"",$A289+1),"")</f>
        <v/>
      </c>
      <c r="B290" s="210" t="str">
        <f>_xlfn.XLOOKUP($A290,'(backend scoring)'!$V$2:$V$333,'(backend scoring)'!$A$2:$A$333,"")</f>
        <v/>
      </c>
      <c r="C290" s="210" t="str">
        <f>IFERROR(VLOOKUP($B290,'Institution Evaluation'!$A$55:$F$346,2,0),IFERROR(VLOOKUP($B290,'Privacy Analyst Evaluation'!$A$46:$F$120,2,0),""))&amp;""</f>
        <v/>
      </c>
      <c r="D290" s="210" t="str">
        <f>IFERROR(VLOOKUP($B290,'Institution Evaluation'!$A$55:$F$346,3,0),IFERROR(VLOOKUP($B290,'Privacy Analyst Evaluation'!$A$46:$F$120,3,0),""))&amp;""</f>
        <v/>
      </c>
      <c r="E290" s="210" t="str">
        <f>IFERROR(VLOOKUP($B290,'Institution Evaluation'!$A$55:$F$346,4,0),IFERROR(VLOOKUP($B290,'Privacy Analyst Evaluation'!$A$46:$F$120,4,0),""))&amp;""</f>
        <v/>
      </c>
      <c r="F290" s="210" t="str">
        <f>IFERROR(VLOOKUP($B290,'Institution Evaluation'!$A$55:$F$346,6,0),IFERROR(VLOOKUP($B290,'Privacy Analyst Evaluation'!$A$46:$F$120,6,0),""))&amp;""</f>
        <v/>
      </c>
      <c r="G290" s="211"/>
      <c r="H290" s="210" t="str">
        <f>IFERROR(IF($H289+1&gt;'(backend scoring)'!$Q$335,"",$H289+1),"")</f>
        <v/>
      </c>
      <c r="I290" s="210" t="str">
        <f>_xlfn.XLOOKUP($H290,'(backend scoring)'!$S$2:$S$333,'(backend scoring)'!$A$2:$A$333,"")</f>
        <v/>
      </c>
      <c r="J290" s="210" t="str">
        <f>IFERROR(VLOOKUP($I290,'Institution Evaluation'!$A$55:$F$346,2,0),IFERROR(VLOOKUP($I290,'Privacy Analyst Evaluation'!$A$46:$F$120,2,0),""))</f>
        <v/>
      </c>
      <c r="K290" s="210" t="str">
        <f>IFERROR(VLOOKUP($I290,'Institution Evaluation'!$A$55:$F$346,3,0),IFERROR(VLOOKUP($I290,'Privacy Analyst Evaluation'!$A$46:$F$120,3,0),""))&amp;""</f>
        <v/>
      </c>
      <c r="L290" s="210" t="str">
        <f>IFERROR(VLOOKUP($I290,'Institution Evaluation'!$A$55:$F$346,4,0),IFERROR(VLOOKUP($I290,'Privacy Analyst Evaluation'!$A$46:$F$120,4,0),""))&amp;""</f>
        <v/>
      </c>
      <c r="M290" s="210"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2">
      <c r="A291" s="210" t="str">
        <f>IFERROR(IF($A290+1&gt;'(backend scoring)'!$T$335,"",$A290+1),"")</f>
        <v/>
      </c>
      <c r="B291" s="210" t="str">
        <f>_xlfn.XLOOKUP($A291,'(backend scoring)'!$V$2:$V$333,'(backend scoring)'!$A$2:$A$333,"")</f>
        <v/>
      </c>
      <c r="C291" s="210" t="str">
        <f>IFERROR(VLOOKUP($B291,'Institution Evaluation'!$A$55:$F$346,2,0),IFERROR(VLOOKUP($B291,'Privacy Analyst Evaluation'!$A$46:$F$120,2,0),""))&amp;""</f>
        <v/>
      </c>
      <c r="D291" s="210" t="str">
        <f>IFERROR(VLOOKUP($B291,'Institution Evaluation'!$A$55:$F$346,3,0),IFERROR(VLOOKUP($B291,'Privacy Analyst Evaluation'!$A$46:$F$120,3,0),""))&amp;""</f>
        <v/>
      </c>
      <c r="E291" s="210" t="str">
        <f>IFERROR(VLOOKUP($B291,'Institution Evaluation'!$A$55:$F$346,4,0),IFERROR(VLOOKUP($B291,'Privacy Analyst Evaluation'!$A$46:$F$120,4,0),""))&amp;""</f>
        <v/>
      </c>
      <c r="F291" s="210" t="str">
        <f>IFERROR(VLOOKUP($B291,'Institution Evaluation'!$A$55:$F$346,6,0),IFERROR(VLOOKUP($B291,'Privacy Analyst Evaluation'!$A$46:$F$120,6,0),""))&amp;""</f>
        <v/>
      </c>
      <c r="G291" s="211"/>
      <c r="H291" s="210" t="str">
        <f>IFERROR(IF($H290+1&gt;'(backend scoring)'!$Q$335,"",$H290+1),"")</f>
        <v/>
      </c>
      <c r="I291" s="210" t="str">
        <f>_xlfn.XLOOKUP($H291,'(backend scoring)'!$S$2:$S$333,'(backend scoring)'!$A$2:$A$333,"")</f>
        <v/>
      </c>
      <c r="J291" s="210" t="str">
        <f>IFERROR(VLOOKUP($I291,'Institution Evaluation'!$A$55:$F$346,2,0),IFERROR(VLOOKUP($I291,'Privacy Analyst Evaluation'!$A$46:$F$120,2,0),""))</f>
        <v/>
      </c>
      <c r="K291" s="210" t="str">
        <f>IFERROR(VLOOKUP($I291,'Institution Evaluation'!$A$55:$F$346,3,0),IFERROR(VLOOKUP($I291,'Privacy Analyst Evaluation'!$A$46:$F$120,3,0),""))&amp;""</f>
        <v/>
      </c>
      <c r="L291" s="210" t="str">
        <f>IFERROR(VLOOKUP($I291,'Institution Evaluation'!$A$55:$F$346,4,0),IFERROR(VLOOKUP($I291,'Privacy Analyst Evaluation'!$A$46:$F$120,4,0),""))&amp;""</f>
        <v/>
      </c>
      <c r="M291" s="210"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2">
      <c r="A292" s="210" t="str">
        <f>IFERROR(IF($A291+1&gt;'(backend scoring)'!$T$335,"",$A291+1),"")</f>
        <v/>
      </c>
      <c r="B292" s="210" t="str">
        <f>_xlfn.XLOOKUP($A292,'(backend scoring)'!$V$2:$V$333,'(backend scoring)'!$A$2:$A$333,"")</f>
        <v/>
      </c>
      <c r="C292" s="210" t="str">
        <f>IFERROR(VLOOKUP($B292,'Institution Evaluation'!$A$55:$F$346,2,0),IFERROR(VLOOKUP($B292,'Privacy Analyst Evaluation'!$A$46:$F$120,2,0),""))&amp;""</f>
        <v/>
      </c>
      <c r="D292" s="210" t="str">
        <f>IFERROR(VLOOKUP($B292,'Institution Evaluation'!$A$55:$F$346,3,0),IFERROR(VLOOKUP($B292,'Privacy Analyst Evaluation'!$A$46:$F$120,3,0),""))&amp;""</f>
        <v/>
      </c>
      <c r="E292" s="210" t="str">
        <f>IFERROR(VLOOKUP($B292,'Institution Evaluation'!$A$55:$F$346,4,0),IFERROR(VLOOKUP($B292,'Privacy Analyst Evaluation'!$A$46:$F$120,4,0),""))&amp;""</f>
        <v/>
      </c>
      <c r="F292" s="210" t="str">
        <f>IFERROR(VLOOKUP($B292,'Institution Evaluation'!$A$55:$F$346,6,0),IFERROR(VLOOKUP($B292,'Privacy Analyst Evaluation'!$A$46:$F$120,6,0),""))&amp;""</f>
        <v/>
      </c>
      <c r="G292" s="211"/>
      <c r="H292" s="210" t="str">
        <f>IFERROR(IF($H291+1&gt;'(backend scoring)'!$Q$335,"",$H291+1),"")</f>
        <v/>
      </c>
      <c r="I292" s="210" t="str">
        <f>_xlfn.XLOOKUP($H292,'(backend scoring)'!$S$2:$S$333,'(backend scoring)'!$A$2:$A$333,"")</f>
        <v/>
      </c>
      <c r="J292" s="210" t="str">
        <f>IFERROR(VLOOKUP($I292,'Institution Evaluation'!$A$55:$F$346,2,0),IFERROR(VLOOKUP($I292,'Privacy Analyst Evaluation'!$A$46:$F$120,2,0),""))</f>
        <v/>
      </c>
      <c r="K292" s="210" t="str">
        <f>IFERROR(VLOOKUP($I292,'Institution Evaluation'!$A$55:$F$346,3,0),IFERROR(VLOOKUP($I292,'Privacy Analyst Evaluation'!$A$46:$F$120,3,0),""))&amp;""</f>
        <v/>
      </c>
      <c r="L292" s="210" t="str">
        <f>IFERROR(VLOOKUP($I292,'Institution Evaluation'!$A$55:$F$346,4,0),IFERROR(VLOOKUP($I292,'Privacy Analyst Evaluation'!$A$46:$F$120,4,0),""))&amp;""</f>
        <v/>
      </c>
      <c r="M292" s="210"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2">
      <c r="A293" s="210" t="str">
        <f>IFERROR(IF($A292+1&gt;'(backend scoring)'!$T$335,"",$A292+1),"")</f>
        <v/>
      </c>
      <c r="B293" s="210" t="str">
        <f>_xlfn.XLOOKUP($A293,'(backend scoring)'!$V$2:$V$333,'(backend scoring)'!$A$2:$A$333,"")</f>
        <v/>
      </c>
      <c r="C293" s="210" t="str">
        <f>IFERROR(VLOOKUP($B293,'Institution Evaluation'!$A$55:$F$346,2,0),IFERROR(VLOOKUP($B293,'Privacy Analyst Evaluation'!$A$46:$F$120,2,0),""))&amp;""</f>
        <v/>
      </c>
      <c r="D293" s="210" t="str">
        <f>IFERROR(VLOOKUP($B293,'Institution Evaluation'!$A$55:$F$346,3,0),IFERROR(VLOOKUP($B293,'Privacy Analyst Evaluation'!$A$46:$F$120,3,0),""))&amp;""</f>
        <v/>
      </c>
      <c r="E293" s="210" t="str">
        <f>IFERROR(VLOOKUP($B293,'Institution Evaluation'!$A$55:$F$346,4,0),IFERROR(VLOOKUP($B293,'Privacy Analyst Evaluation'!$A$46:$F$120,4,0),""))&amp;""</f>
        <v/>
      </c>
      <c r="F293" s="210" t="str">
        <f>IFERROR(VLOOKUP($B293,'Institution Evaluation'!$A$55:$F$346,6,0),IFERROR(VLOOKUP($B293,'Privacy Analyst Evaluation'!$A$46:$F$120,6,0),""))&amp;""</f>
        <v/>
      </c>
      <c r="G293" s="211"/>
      <c r="H293" s="210" t="str">
        <f>IFERROR(IF($H292+1&gt;'(backend scoring)'!$Q$335,"",$H292+1),"")</f>
        <v/>
      </c>
      <c r="I293" s="210" t="str">
        <f>_xlfn.XLOOKUP($H293,'(backend scoring)'!$S$2:$S$333,'(backend scoring)'!$A$2:$A$333,"")</f>
        <v/>
      </c>
      <c r="J293" s="210" t="str">
        <f>IFERROR(VLOOKUP($I293,'Institution Evaluation'!$A$55:$F$346,2,0),IFERROR(VLOOKUP($I293,'Privacy Analyst Evaluation'!$A$46:$F$120,2,0),""))</f>
        <v/>
      </c>
      <c r="K293" s="210" t="str">
        <f>IFERROR(VLOOKUP($I293,'Institution Evaluation'!$A$55:$F$346,3,0),IFERROR(VLOOKUP($I293,'Privacy Analyst Evaluation'!$A$46:$F$120,3,0),""))&amp;""</f>
        <v/>
      </c>
      <c r="L293" s="210" t="str">
        <f>IFERROR(VLOOKUP($I293,'Institution Evaluation'!$A$55:$F$346,4,0),IFERROR(VLOOKUP($I293,'Privacy Analyst Evaluation'!$A$46:$F$120,4,0),""))&amp;""</f>
        <v/>
      </c>
      <c r="M293" s="210"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2">
      <c r="A294" s="210" t="str">
        <f>IFERROR(IF($A293+1&gt;'(backend scoring)'!$T$335,"",$A293+1),"")</f>
        <v/>
      </c>
      <c r="B294" s="210" t="str">
        <f>_xlfn.XLOOKUP($A294,'(backend scoring)'!$V$2:$V$333,'(backend scoring)'!$A$2:$A$333,"")</f>
        <v/>
      </c>
      <c r="C294" s="210" t="str">
        <f>IFERROR(VLOOKUP($B294,'Institution Evaluation'!$A$55:$F$346,2,0),IFERROR(VLOOKUP($B294,'Privacy Analyst Evaluation'!$A$46:$F$120,2,0),""))&amp;""</f>
        <v/>
      </c>
      <c r="D294" s="210" t="str">
        <f>IFERROR(VLOOKUP($B294,'Institution Evaluation'!$A$55:$F$346,3,0),IFERROR(VLOOKUP($B294,'Privacy Analyst Evaluation'!$A$46:$F$120,3,0),""))&amp;""</f>
        <v/>
      </c>
      <c r="E294" s="210" t="str">
        <f>IFERROR(VLOOKUP($B294,'Institution Evaluation'!$A$55:$F$346,4,0),IFERROR(VLOOKUP($B294,'Privacy Analyst Evaluation'!$A$46:$F$120,4,0),""))&amp;""</f>
        <v/>
      </c>
      <c r="F294" s="210" t="str">
        <f>IFERROR(VLOOKUP($B294,'Institution Evaluation'!$A$55:$F$346,6,0),IFERROR(VLOOKUP($B294,'Privacy Analyst Evaluation'!$A$46:$F$120,6,0),""))&amp;""</f>
        <v/>
      </c>
      <c r="G294" s="211"/>
      <c r="H294" s="210" t="str">
        <f>IFERROR(IF($H293+1&gt;'(backend scoring)'!$Q$335,"",$H293+1),"")</f>
        <v/>
      </c>
      <c r="I294" s="210" t="str">
        <f>_xlfn.XLOOKUP($H294,'(backend scoring)'!$S$2:$S$333,'(backend scoring)'!$A$2:$A$333,"")</f>
        <v/>
      </c>
      <c r="J294" s="210" t="str">
        <f>IFERROR(VLOOKUP($I294,'Institution Evaluation'!$A$55:$F$346,2,0),IFERROR(VLOOKUP($I294,'Privacy Analyst Evaluation'!$A$46:$F$120,2,0),""))</f>
        <v/>
      </c>
      <c r="K294" s="210" t="str">
        <f>IFERROR(VLOOKUP($I294,'Institution Evaluation'!$A$55:$F$346,3,0),IFERROR(VLOOKUP($I294,'Privacy Analyst Evaluation'!$A$46:$F$120,3,0),""))&amp;""</f>
        <v/>
      </c>
      <c r="L294" s="210" t="str">
        <f>IFERROR(VLOOKUP($I294,'Institution Evaluation'!$A$55:$F$346,4,0),IFERROR(VLOOKUP($I294,'Privacy Analyst Evaluation'!$A$46:$F$120,4,0),""))&amp;""</f>
        <v/>
      </c>
      <c r="M294" s="210"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2">
      <c r="A295" s="210" t="str">
        <f>IFERROR(IF($A294+1&gt;'(backend scoring)'!$T$335,"",$A294+1),"")</f>
        <v/>
      </c>
      <c r="B295" s="210" t="str">
        <f>_xlfn.XLOOKUP($A295,'(backend scoring)'!$V$2:$V$333,'(backend scoring)'!$A$2:$A$333,"")</f>
        <v/>
      </c>
      <c r="C295" s="210" t="str">
        <f>IFERROR(VLOOKUP($B295,'Institution Evaluation'!$A$55:$F$346,2,0),IFERROR(VLOOKUP($B295,'Privacy Analyst Evaluation'!$A$46:$F$120,2,0),""))&amp;""</f>
        <v/>
      </c>
      <c r="D295" s="210" t="str">
        <f>IFERROR(VLOOKUP($B295,'Institution Evaluation'!$A$55:$F$346,3,0),IFERROR(VLOOKUP($B295,'Privacy Analyst Evaluation'!$A$46:$F$120,3,0),""))&amp;""</f>
        <v/>
      </c>
      <c r="E295" s="210" t="str">
        <f>IFERROR(VLOOKUP($B295,'Institution Evaluation'!$A$55:$F$346,4,0),IFERROR(VLOOKUP($B295,'Privacy Analyst Evaluation'!$A$46:$F$120,4,0),""))&amp;""</f>
        <v/>
      </c>
      <c r="F295" s="210" t="str">
        <f>IFERROR(VLOOKUP($B295,'Institution Evaluation'!$A$55:$F$346,6,0),IFERROR(VLOOKUP($B295,'Privacy Analyst Evaluation'!$A$46:$F$120,6,0),""))&amp;""</f>
        <v/>
      </c>
      <c r="G295" s="211"/>
      <c r="H295" s="210" t="str">
        <f>IFERROR(IF($H294+1&gt;'(backend scoring)'!$Q$335,"",$H294+1),"")</f>
        <v/>
      </c>
      <c r="I295" s="210" t="str">
        <f>_xlfn.XLOOKUP($H295,'(backend scoring)'!$S$2:$S$333,'(backend scoring)'!$A$2:$A$333,"")</f>
        <v/>
      </c>
      <c r="J295" s="210" t="str">
        <f>IFERROR(VLOOKUP($I295,'Institution Evaluation'!$A$55:$F$346,2,0),IFERROR(VLOOKUP($I295,'Privacy Analyst Evaluation'!$A$46:$F$120,2,0),""))</f>
        <v/>
      </c>
      <c r="K295" s="210" t="str">
        <f>IFERROR(VLOOKUP($I295,'Institution Evaluation'!$A$55:$F$346,3,0),IFERROR(VLOOKUP($I295,'Privacy Analyst Evaluation'!$A$46:$F$120,3,0),""))&amp;""</f>
        <v/>
      </c>
      <c r="L295" s="210" t="str">
        <f>IFERROR(VLOOKUP($I295,'Institution Evaluation'!$A$55:$F$346,4,0),IFERROR(VLOOKUP($I295,'Privacy Analyst Evaluation'!$A$46:$F$120,4,0),""))&amp;""</f>
        <v/>
      </c>
      <c r="M295" s="210"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2">
      <c r="A296" s="210" t="str">
        <f>IFERROR(IF($A295+1&gt;'(backend scoring)'!$T$335,"",$A295+1),"")</f>
        <v/>
      </c>
      <c r="B296" s="210" t="str">
        <f>_xlfn.XLOOKUP($A296,'(backend scoring)'!$V$2:$V$333,'(backend scoring)'!$A$2:$A$333,"")</f>
        <v/>
      </c>
      <c r="C296" s="210" t="str">
        <f>IFERROR(VLOOKUP($B296,'Institution Evaluation'!$A$55:$F$346,2,0),IFERROR(VLOOKUP($B296,'Privacy Analyst Evaluation'!$A$46:$F$120,2,0),""))&amp;""</f>
        <v/>
      </c>
      <c r="D296" s="210" t="str">
        <f>IFERROR(VLOOKUP($B296,'Institution Evaluation'!$A$55:$F$346,3,0),IFERROR(VLOOKUP($B296,'Privacy Analyst Evaluation'!$A$46:$F$120,3,0),""))&amp;""</f>
        <v/>
      </c>
      <c r="E296" s="210" t="str">
        <f>IFERROR(VLOOKUP($B296,'Institution Evaluation'!$A$55:$F$346,4,0),IFERROR(VLOOKUP($B296,'Privacy Analyst Evaluation'!$A$46:$F$120,4,0),""))&amp;""</f>
        <v/>
      </c>
      <c r="F296" s="210" t="str">
        <f>IFERROR(VLOOKUP($B296,'Institution Evaluation'!$A$55:$F$346,6,0),IFERROR(VLOOKUP($B296,'Privacy Analyst Evaluation'!$A$46:$F$120,6,0),""))&amp;""</f>
        <v/>
      </c>
      <c r="G296" s="211"/>
      <c r="H296" s="210" t="str">
        <f>IFERROR(IF($H295+1&gt;'(backend scoring)'!$Q$335,"",$H295+1),"")</f>
        <v/>
      </c>
      <c r="I296" s="210" t="str">
        <f>_xlfn.XLOOKUP($H296,'(backend scoring)'!$S$2:$S$333,'(backend scoring)'!$A$2:$A$333,"")</f>
        <v/>
      </c>
      <c r="J296" s="210" t="str">
        <f>IFERROR(VLOOKUP($I296,'Institution Evaluation'!$A$55:$F$346,2,0),IFERROR(VLOOKUP($I296,'Privacy Analyst Evaluation'!$A$46:$F$120,2,0),""))</f>
        <v/>
      </c>
      <c r="K296" s="210" t="str">
        <f>IFERROR(VLOOKUP($I296,'Institution Evaluation'!$A$55:$F$346,3,0),IFERROR(VLOOKUP($I296,'Privacy Analyst Evaluation'!$A$46:$F$120,3,0),""))&amp;""</f>
        <v/>
      </c>
      <c r="L296" s="210" t="str">
        <f>IFERROR(VLOOKUP($I296,'Institution Evaluation'!$A$55:$F$346,4,0),IFERROR(VLOOKUP($I296,'Privacy Analyst Evaluation'!$A$46:$F$120,4,0),""))&amp;""</f>
        <v/>
      </c>
      <c r="M296" s="210"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2">
      <c r="A297" s="210" t="str">
        <f>IFERROR(IF($A296+1&gt;'(backend scoring)'!$T$335,"",$A296+1),"")</f>
        <v/>
      </c>
      <c r="B297" s="210" t="str">
        <f>_xlfn.XLOOKUP($A297,'(backend scoring)'!$V$2:$V$333,'(backend scoring)'!$A$2:$A$333,"")</f>
        <v/>
      </c>
      <c r="C297" s="210" t="str">
        <f>IFERROR(VLOOKUP($B297,'Institution Evaluation'!$A$55:$F$346,2,0),IFERROR(VLOOKUP($B297,'Privacy Analyst Evaluation'!$A$46:$F$120,2,0),""))&amp;""</f>
        <v/>
      </c>
      <c r="D297" s="210" t="str">
        <f>IFERROR(VLOOKUP($B297,'Institution Evaluation'!$A$55:$F$346,3,0),IFERROR(VLOOKUP($B297,'Privacy Analyst Evaluation'!$A$46:$F$120,3,0),""))&amp;""</f>
        <v/>
      </c>
      <c r="E297" s="210" t="str">
        <f>IFERROR(VLOOKUP($B297,'Institution Evaluation'!$A$55:$F$346,4,0),IFERROR(VLOOKUP($B297,'Privacy Analyst Evaluation'!$A$46:$F$120,4,0),""))&amp;""</f>
        <v/>
      </c>
      <c r="F297" s="210" t="str">
        <f>IFERROR(VLOOKUP($B297,'Institution Evaluation'!$A$55:$F$346,6,0),IFERROR(VLOOKUP($B297,'Privacy Analyst Evaluation'!$A$46:$F$120,6,0),""))&amp;""</f>
        <v/>
      </c>
      <c r="G297" s="211"/>
      <c r="H297" s="210" t="str">
        <f>IFERROR(IF($H296+1&gt;'(backend scoring)'!$Q$335,"",$H296+1),"")</f>
        <v/>
      </c>
      <c r="I297" s="210" t="str">
        <f>_xlfn.XLOOKUP($H297,'(backend scoring)'!$S$2:$S$333,'(backend scoring)'!$A$2:$A$333,"")</f>
        <v/>
      </c>
      <c r="J297" s="210" t="str">
        <f>IFERROR(VLOOKUP($I297,'Institution Evaluation'!$A$55:$F$346,2,0),IFERROR(VLOOKUP($I297,'Privacy Analyst Evaluation'!$A$46:$F$120,2,0),""))</f>
        <v/>
      </c>
      <c r="K297" s="210" t="str">
        <f>IFERROR(VLOOKUP($I297,'Institution Evaluation'!$A$55:$F$346,3,0),IFERROR(VLOOKUP($I297,'Privacy Analyst Evaluation'!$A$46:$F$120,3,0),""))&amp;""</f>
        <v/>
      </c>
      <c r="L297" s="210" t="str">
        <f>IFERROR(VLOOKUP($I297,'Institution Evaluation'!$A$55:$F$346,4,0),IFERROR(VLOOKUP($I297,'Privacy Analyst Evaluation'!$A$46:$F$120,4,0),""))&amp;""</f>
        <v/>
      </c>
      <c r="M297" s="210"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2">
      <c r="A298" s="210" t="str">
        <f>IFERROR(IF($A297+1&gt;'(backend scoring)'!$T$335,"",$A297+1),"")</f>
        <v/>
      </c>
      <c r="B298" s="210" t="str">
        <f>_xlfn.XLOOKUP($A298,'(backend scoring)'!$V$2:$V$333,'(backend scoring)'!$A$2:$A$333,"")</f>
        <v/>
      </c>
      <c r="C298" s="210" t="str">
        <f>IFERROR(VLOOKUP($B298,'Institution Evaluation'!$A$55:$F$346,2,0),IFERROR(VLOOKUP($B298,'Privacy Analyst Evaluation'!$A$46:$F$120,2,0),""))&amp;""</f>
        <v/>
      </c>
      <c r="D298" s="210" t="str">
        <f>IFERROR(VLOOKUP($B298,'Institution Evaluation'!$A$55:$F$346,3,0),IFERROR(VLOOKUP($B298,'Privacy Analyst Evaluation'!$A$46:$F$120,3,0),""))&amp;""</f>
        <v/>
      </c>
      <c r="E298" s="210" t="str">
        <f>IFERROR(VLOOKUP($B298,'Institution Evaluation'!$A$55:$F$346,4,0),IFERROR(VLOOKUP($B298,'Privacy Analyst Evaluation'!$A$46:$F$120,4,0),""))&amp;""</f>
        <v/>
      </c>
      <c r="F298" s="210" t="str">
        <f>IFERROR(VLOOKUP($B298,'Institution Evaluation'!$A$55:$F$346,6,0),IFERROR(VLOOKUP($B298,'Privacy Analyst Evaluation'!$A$46:$F$120,6,0),""))&amp;""</f>
        <v/>
      </c>
      <c r="G298" s="211"/>
      <c r="H298" s="210" t="str">
        <f>IFERROR(IF($H297+1&gt;'(backend scoring)'!$Q$335,"",$H297+1),"")</f>
        <v/>
      </c>
      <c r="I298" s="210" t="str">
        <f>_xlfn.XLOOKUP($H298,'(backend scoring)'!$S$2:$S$333,'(backend scoring)'!$A$2:$A$333,"")</f>
        <v/>
      </c>
      <c r="J298" s="210" t="str">
        <f>IFERROR(VLOOKUP($I298,'Institution Evaluation'!$A$55:$F$346,2,0),IFERROR(VLOOKUP($I298,'Privacy Analyst Evaluation'!$A$46:$F$120,2,0),""))</f>
        <v/>
      </c>
      <c r="K298" s="210" t="str">
        <f>IFERROR(VLOOKUP($I298,'Institution Evaluation'!$A$55:$F$346,3,0),IFERROR(VLOOKUP($I298,'Privacy Analyst Evaluation'!$A$46:$F$120,3,0),""))&amp;""</f>
        <v/>
      </c>
      <c r="L298" s="210" t="str">
        <f>IFERROR(VLOOKUP($I298,'Institution Evaluation'!$A$55:$F$346,4,0),IFERROR(VLOOKUP($I298,'Privacy Analyst Evaluation'!$A$46:$F$120,4,0),""))&amp;""</f>
        <v/>
      </c>
      <c r="M298" s="210"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2">
      <c r="A299" s="210" t="str">
        <f>IFERROR(IF($A298+1&gt;'(backend scoring)'!$T$335,"",$A298+1),"")</f>
        <v/>
      </c>
      <c r="B299" s="210" t="str">
        <f>_xlfn.XLOOKUP($A299,'(backend scoring)'!$V$2:$V$333,'(backend scoring)'!$A$2:$A$333,"")</f>
        <v/>
      </c>
      <c r="C299" s="210" t="str">
        <f>IFERROR(VLOOKUP($B299,'Institution Evaluation'!$A$55:$F$346,2,0),IFERROR(VLOOKUP($B299,'Privacy Analyst Evaluation'!$A$46:$F$120,2,0),""))&amp;""</f>
        <v/>
      </c>
      <c r="D299" s="210" t="str">
        <f>IFERROR(VLOOKUP($B299,'Institution Evaluation'!$A$55:$F$346,3,0),IFERROR(VLOOKUP($B299,'Privacy Analyst Evaluation'!$A$46:$F$120,3,0),""))&amp;""</f>
        <v/>
      </c>
      <c r="E299" s="210" t="str">
        <f>IFERROR(VLOOKUP($B299,'Institution Evaluation'!$A$55:$F$346,4,0),IFERROR(VLOOKUP($B299,'Privacy Analyst Evaluation'!$A$46:$F$120,4,0),""))&amp;""</f>
        <v/>
      </c>
      <c r="F299" s="210" t="str">
        <f>IFERROR(VLOOKUP($B299,'Institution Evaluation'!$A$55:$F$346,6,0),IFERROR(VLOOKUP($B299,'Privacy Analyst Evaluation'!$A$46:$F$120,6,0),""))&amp;""</f>
        <v/>
      </c>
      <c r="G299" s="211"/>
      <c r="H299" s="210" t="str">
        <f>IFERROR(IF($H298+1&gt;'(backend scoring)'!$Q$335,"",$H298+1),"")</f>
        <v/>
      </c>
      <c r="I299" s="210" t="str">
        <f>_xlfn.XLOOKUP($H299,'(backend scoring)'!$S$2:$S$333,'(backend scoring)'!$A$2:$A$333,"")</f>
        <v/>
      </c>
      <c r="J299" s="210" t="str">
        <f>IFERROR(VLOOKUP($I299,'Institution Evaluation'!$A$55:$F$346,2,0),IFERROR(VLOOKUP($I299,'Privacy Analyst Evaluation'!$A$46:$F$120,2,0),""))</f>
        <v/>
      </c>
      <c r="K299" s="210" t="str">
        <f>IFERROR(VLOOKUP($I299,'Institution Evaluation'!$A$55:$F$346,3,0),IFERROR(VLOOKUP($I299,'Privacy Analyst Evaluation'!$A$46:$F$120,3,0),""))&amp;""</f>
        <v/>
      </c>
      <c r="L299" s="210" t="str">
        <f>IFERROR(VLOOKUP($I299,'Institution Evaluation'!$A$55:$F$346,4,0),IFERROR(VLOOKUP($I299,'Privacy Analyst Evaluation'!$A$46:$F$120,4,0),""))&amp;""</f>
        <v/>
      </c>
      <c r="M299" s="210"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2">
      <c r="A300" s="210" t="str">
        <f>IFERROR(IF($A299+1&gt;'(backend scoring)'!$T$335,"",$A299+1),"")</f>
        <v/>
      </c>
      <c r="B300" s="210" t="str">
        <f>_xlfn.XLOOKUP($A300,'(backend scoring)'!$V$2:$V$333,'(backend scoring)'!$A$2:$A$333,"")</f>
        <v/>
      </c>
      <c r="C300" s="210" t="str">
        <f>IFERROR(VLOOKUP($B300,'Institution Evaluation'!$A$55:$F$346,2,0),IFERROR(VLOOKUP($B300,'Privacy Analyst Evaluation'!$A$46:$F$120,2,0),""))&amp;""</f>
        <v/>
      </c>
      <c r="D300" s="210" t="str">
        <f>IFERROR(VLOOKUP($B300,'Institution Evaluation'!$A$55:$F$346,3,0),IFERROR(VLOOKUP($B300,'Privacy Analyst Evaluation'!$A$46:$F$120,3,0),""))&amp;""</f>
        <v/>
      </c>
      <c r="E300" s="210" t="str">
        <f>IFERROR(VLOOKUP($B300,'Institution Evaluation'!$A$55:$F$346,4,0),IFERROR(VLOOKUP($B300,'Privacy Analyst Evaluation'!$A$46:$F$120,4,0),""))&amp;""</f>
        <v/>
      </c>
      <c r="F300" s="210" t="str">
        <f>IFERROR(VLOOKUP($B300,'Institution Evaluation'!$A$55:$F$346,6,0),IFERROR(VLOOKUP($B300,'Privacy Analyst Evaluation'!$A$46:$F$120,6,0),""))&amp;""</f>
        <v/>
      </c>
      <c r="G300" s="211"/>
      <c r="H300" s="210" t="str">
        <f>IFERROR(IF($H299+1&gt;'(backend scoring)'!$Q$335,"",$H299+1),"")</f>
        <v/>
      </c>
      <c r="I300" s="210" t="str">
        <f>_xlfn.XLOOKUP($H300,'(backend scoring)'!$S$2:$S$333,'(backend scoring)'!$A$2:$A$333,"")</f>
        <v/>
      </c>
      <c r="J300" s="210" t="str">
        <f>IFERROR(VLOOKUP($I300,'Institution Evaluation'!$A$55:$F$346,2,0),IFERROR(VLOOKUP($I300,'Privacy Analyst Evaluation'!$A$46:$F$120,2,0),""))</f>
        <v/>
      </c>
      <c r="K300" s="210" t="str">
        <f>IFERROR(VLOOKUP($I300,'Institution Evaluation'!$A$55:$F$346,3,0),IFERROR(VLOOKUP($I300,'Privacy Analyst Evaluation'!$A$46:$F$120,3,0),""))&amp;""</f>
        <v/>
      </c>
      <c r="L300" s="210" t="str">
        <f>IFERROR(VLOOKUP($I300,'Institution Evaluation'!$A$55:$F$346,4,0),IFERROR(VLOOKUP($I300,'Privacy Analyst Evaluation'!$A$46:$F$120,4,0),""))&amp;""</f>
        <v/>
      </c>
      <c r="M300" s="210"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2">
      <c r="A301" s="210" t="str">
        <f>IFERROR(IF($A300+1&gt;'(backend scoring)'!$T$335,"",$A300+1),"")</f>
        <v/>
      </c>
      <c r="B301" s="210" t="str">
        <f>_xlfn.XLOOKUP($A301,'(backend scoring)'!$V$2:$V$333,'(backend scoring)'!$A$2:$A$333,"")</f>
        <v/>
      </c>
      <c r="C301" s="210" t="str">
        <f>IFERROR(VLOOKUP($B301,'Institution Evaluation'!$A$55:$F$346,2,0),IFERROR(VLOOKUP($B301,'Privacy Analyst Evaluation'!$A$46:$F$120,2,0),""))&amp;""</f>
        <v/>
      </c>
      <c r="D301" s="210" t="str">
        <f>IFERROR(VLOOKUP($B301,'Institution Evaluation'!$A$55:$F$346,3,0),IFERROR(VLOOKUP($B301,'Privacy Analyst Evaluation'!$A$46:$F$120,3,0),""))&amp;""</f>
        <v/>
      </c>
      <c r="E301" s="210" t="str">
        <f>IFERROR(VLOOKUP($B301,'Institution Evaluation'!$A$55:$F$346,4,0),IFERROR(VLOOKUP($B301,'Privacy Analyst Evaluation'!$A$46:$F$120,4,0),""))&amp;""</f>
        <v/>
      </c>
      <c r="F301" s="210" t="str">
        <f>IFERROR(VLOOKUP($B301,'Institution Evaluation'!$A$55:$F$346,6,0),IFERROR(VLOOKUP($B301,'Privacy Analyst Evaluation'!$A$46:$F$120,6,0),""))&amp;""</f>
        <v/>
      </c>
      <c r="G301" s="211"/>
      <c r="H301" s="210" t="str">
        <f>IFERROR(IF($H300+1&gt;'(backend scoring)'!$Q$335,"",$H300+1),"")</f>
        <v/>
      </c>
      <c r="I301" s="210" t="str">
        <f>_xlfn.XLOOKUP($H301,'(backend scoring)'!$S$2:$S$333,'(backend scoring)'!$A$2:$A$333,"")</f>
        <v/>
      </c>
      <c r="J301" s="210" t="str">
        <f>IFERROR(VLOOKUP($I301,'Institution Evaluation'!$A$55:$F$346,2,0),IFERROR(VLOOKUP($I301,'Privacy Analyst Evaluation'!$A$46:$F$120,2,0),""))</f>
        <v/>
      </c>
      <c r="K301" s="210" t="str">
        <f>IFERROR(VLOOKUP($I301,'Institution Evaluation'!$A$55:$F$346,3,0),IFERROR(VLOOKUP($I301,'Privacy Analyst Evaluation'!$A$46:$F$120,3,0),""))&amp;""</f>
        <v/>
      </c>
      <c r="L301" s="210" t="str">
        <f>IFERROR(VLOOKUP($I301,'Institution Evaluation'!$A$55:$F$346,4,0),IFERROR(VLOOKUP($I301,'Privacy Analyst Evaluation'!$A$46:$F$120,4,0),""))&amp;""</f>
        <v/>
      </c>
      <c r="M301" s="210"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2">
      <c r="A302" s="210" t="str">
        <f>IFERROR(IF($A301+1&gt;'(backend scoring)'!$T$335,"",$A301+1),"")</f>
        <v/>
      </c>
      <c r="B302" s="210" t="str">
        <f>_xlfn.XLOOKUP($A302,'(backend scoring)'!$V$2:$V$333,'(backend scoring)'!$A$2:$A$333,"")</f>
        <v/>
      </c>
      <c r="C302" s="210" t="str">
        <f>IFERROR(VLOOKUP($B302,'Institution Evaluation'!$A$55:$F$346,2,0),IFERROR(VLOOKUP($B302,'Privacy Analyst Evaluation'!$A$46:$F$120,2,0),""))&amp;""</f>
        <v/>
      </c>
      <c r="D302" s="210" t="str">
        <f>IFERROR(VLOOKUP($B302,'Institution Evaluation'!$A$55:$F$346,3,0),IFERROR(VLOOKUP($B302,'Privacy Analyst Evaluation'!$A$46:$F$120,3,0),""))&amp;""</f>
        <v/>
      </c>
      <c r="E302" s="210" t="str">
        <f>IFERROR(VLOOKUP($B302,'Institution Evaluation'!$A$55:$F$346,4,0),IFERROR(VLOOKUP($B302,'Privacy Analyst Evaluation'!$A$46:$F$120,4,0),""))&amp;""</f>
        <v/>
      </c>
      <c r="F302" s="210" t="str">
        <f>IFERROR(VLOOKUP($B302,'Institution Evaluation'!$A$55:$F$346,6,0),IFERROR(VLOOKUP($B302,'Privacy Analyst Evaluation'!$A$46:$F$120,6,0),""))&amp;""</f>
        <v/>
      </c>
      <c r="G302" s="211"/>
      <c r="H302" s="210" t="str">
        <f>IFERROR(IF($H301+1&gt;'(backend scoring)'!$Q$335,"",$H301+1),"")</f>
        <v/>
      </c>
      <c r="I302" s="210" t="str">
        <f>_xlfn.XLOOKUP($H302,'(backend scoring)'!$S$2:$S$333,'(backend scoring)'!$A$2:$A$333,"")</f>
        <v/>
      </c>
      <c r="J302" s="210" t="str">
        <f>IFERROR(VLOOKUP($I302,'Institution Evaluation'!$A$55:$F$346,2,0),IFERROR(VLOOKUP($I302,'Privacy Analyst Evaluation'!$A$46:$F$120,2,0),""))</f>
        <v/>
      </c>
      <c r="K302" s="210" t="str">
        <f>IFERROR(VLOOKUP($I302,'Institution Evaluation'!$A$55:$F$346,3,0),IFERROR(VLOOKUP($I302,'Privacy Analyst Evaluation'!$A$46:$F$120,3,0),""))&amp;""</f>
        <v/>
      </c>
      <c r="L302" s="210" t="str">
        <f>IFERROR(VLOOKUP($I302,'Institution Evaluation'!$A$55:$F$346,4,0),IFERROR(VLOOKUP($I302,'Privacy Analyst Evaluation'!$A$46:$F$120,4,0),""))&amp;""</f>
        <v/>
      </c>
      <c r="M302" s="210"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2">
      <c r="A303" s="210" t="str">
        <f>IFERROR(IF($A302+1&gt;'(backend scoring)'!$T$335,"",$A302+1),"")</f>
        <v/>
      </c>
      <c r="B303" s="210" t="str">
        <f>_xlfn.XLOOKUP($A303,'(backend scoring)'!$V$2:$V$333,'(backend scoring)'!$A$2:$A$333,"")</f>
        <v/>
      </c>
      <c r="C303" s="210" t="str">
        <f>IFERROR(VLOOKUP($B303,'Institution Evaluation'!$A$55:$F$346,2,0),IFERROR(VLOOKUP($B303,'Privacy Analyst Evaluation'!$A$46:$F$120,2,0),""))&amp;""</f>
        <v/>
      </c>
      <c r="D303" s="210" t="str">
        <f>IFERROR(VLOOKUP($B303,'Institution Evaluation'!$A$55:$F$346,3,0),IFERROR(VLOOKUP($B303,'Privacy Analyst Evaluation'!$A$46:$F$120,3,0),""))&amp;""</f>
        <v/>
      </c>
      <c r="E303" s="210" t="str">
        <f>IFERROR(VLOOKUP($B303,'Institution Evaluation'!$A$55:$F$346,4,0),IFERROR(VLOOKUP($B303,'Privacy Analyst Evaluation'!$A$46:$F$120,4,0),""))&amp;""</f>
        <v/>
      </c>
      <c r="F303" s="210" t="str">
        <f>IFERROR(VLOOKUP($B303,'Institution Evaluation'!$A$55:$F$346,6,0),IFERROR(VLOOKUP($B303,'Privacy Analyst Evaluation'!$A$46:$F$120,6,0),""))&amp;""</f>
        <v/>
      </c>
      <c r="G303" s="211"/>
      <c r="H303" s="210" t="str">
        <f>IFERROR(IF($H302+1&gt;'(backend scoring)'!$Q$335,"",$H302+1),"")</f>
        <v/>
      </c>
      <c r="I303" s="210" t="str">
        <f>_xlfn.XLOOKUP($H303,'(backend scoring)'!$S$2:$S$333,'(backend scoring)'!$A$2:$A$333,"")</f>
        <v/>
      </c>
      <c r="J303" s="210" t="str">
        <f>IFERROR(VLOOKUP($I303,'Institution Evaluation'!$A$55:$F$346,2,0),IFERROR(VLOOKUP($I303,'Privacy Analyst Evaluation'!$A$46:$F$120,2,0),""))</f>
        <v/>
      </c>
      <c r="K303" s="210" t="str">
        <f>IFERROR(VLOOKUP($I303,'Institution Evaluation'!$A$55:$F$346,3,0),IFERROR(VLOOKUP($I303,'Privacy Analyst Evaluation'!$A$46:$F$120,3,0),""))&amp;""</f>
        <v/>
      </c>
      <c r="L303" s="210" t="str">
        <f>IFERROR(VLOOKUP($I303,'Institution Evaluation'!$A$55:$F$346,4,0),IFERROR(VLOOKUP($I303,'Privacy Analyst Evaluation'!$A$46:$F$120,4,0),""))&amp;""</f>
        <v/>
      </c>
      <c r="M303" s="210"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2">
      <c r="A304" s="210" t="str">
        <f>IFERROR(IF($A303+1&gt;'(backend scoring)'!$T$335,"",$A303+1),"")</f>
        <v/>
      </c>
      <c r="B304" s="210" t="str">
        <f>_xlfn.XLOOKUP($A304,'(backend scoring)'!$V$2:$V$333,'(backend scoring)'!$A$2:$A$333,"")</f>
        <v/>
      </c>
      <c r="C304" s="210" t="str">
        <f>IFERROR(VLOOKUP($B304,'Institution Evaluation'!$A$55:$F$346,2,0),IFERROR(VLOOKUP($B304,'Privacy Analyst Evaluation'!$A$46:$F$120,2,0),""))&amp;""</f>
        <v/>
      </c>
      <c r="D304" s="210" t="str">
        <f>IFERROR(VLOOKUP($B304,'Institution Evaluation'!$A$55:$F$346,3,0),IFERROR(VLOOKUP($B304,'Privacy Analyst Evaluation'!$A$46:$F$120,3,0),""))&amp;""</f>
        <v/>
      </c>
      <c r="E304" s="210" t="str">
        <f>IFERROR(VLOOKUP($B304,'Institution Evaluation'!$A$55:$F$346,4,0),IFERROR(VLOOKUP($B304,'Privacy Analyst Evaluation'!$A$46:$F$120,4,0),""))&amp;""</f>
        <v/>
      </c>
      <c r="F304" s="210" t="str">
        <f>IFERROR(VLOOKUP($B304,'Institution Evaluation'!$A$55:$F$346,6,0),IFERROR(VLOOKUP($B304,'Privacy Analyst Evaluation'!$A$46:$F$120,6,0),""))&amp;""</f>
        <v/>
      </c>
      <c r="G304" s="211"/>
      <c r="H304" s="210" t="str">
        <f>IFERROR(IF($H303+1&gt;'(backend scoring)'!$Q$335,"",$H303+1),"")</f>
        <v/>
      </c>
      <c r="I304" s="210" t="str">
        <f>_xlfn.XLOOKUP($H304,'(backend scoring)'!$S$2:$S$333,'(backend scoring)'!$A$2:$A$333,"")</f>
        <v/>
      </c>
      <c r="J304" s="210" t="str">
        <f>IFERROR(VLOOKUP($I304,'Institution Evaluation'!$A$55:$F$346,2,0),IFERROR(VLOOKUP($I304,'Privacy Analyst Evaluation'!$A$46:$F$120,2,0),""))</f>
        <v/>
      </c>
      <c r="K304" s="210" t="str">
        <f>IFERROR(VLOOKUP($I304,'Institution Evaluation'!$A$55:$F$346,3,0),IFERROR(VLOOKUP($I304,'Privacy Analyst Evaluation'!$A$46:$F$120,3,0),""))&amp;""</f>
        <v/>
      </c>
      <c r="L304" s="210" t="str">
        <f>IFERROR(VLOOKUP($I304,'Institution Evaluation'!$A$55:$F$346,4,0),IFERROR(VLOOKUP($I304,'Privacy Analyst Evaluation'!$A$46:$F$120,4,0),""))&amp;""</f>
        <v/>
      </c>
      <c r="M304" s="210"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2">
      <c r="A305" s="210" t="str">
        <f>IFERROR(IF($A304+1&gt;'(backend scoring)'!$T$335,"",$A304+1),"")</f>
        <v/>
      </c>
      <c r="B305" s="210" t="str">
        <f>_xlfn.XLOOKUP($A305,'(backend scoring)'!$V$2:$V$333,'(backend scoring)'!$A$2:$A$333,"")</f>
        <v/>
      </c>
      <c r="C305" s="210" t="str">
        <f>IFERROR(VLOOKUP($B305,'Institution Evaluation'!$A$55:$F$346,2,0),IFERROR(VLOOKUP($B305,'Privacy Analyst Evaluation'!$A$46:$F$120,2,0),""))&amp;""</f>
        <v/>
      </c>
      <c r="D305" s="210" t="str">
        <f>IFERROR(VLOOKUP($B305,'Institution Evaluation'!$A$55:$F$346,3,0),IFERROR(VLOOKUP($B305,'Privacy Analyst Evaluation'!$A$46:$F$120,3,0),""))&amp;""</f>
        <v/>
      </c>
      <c r="E305" s="210" t="str">
        <f>IFERROR(VLOOKUP($B305,'Institution Evaluation'!$A$55:$F$346,4,0),IFERROR(VLOOKUP($B305,'Privacy Analyst Evaluation'!$A$46:$F$120,4,0),""))&amp;""</f>
        <v/>
      </c>
      <c r="F305" s="210" t="str">
        <f>IFERROR(VLOOKUP($B305,'Institution Evaluation'!$A$55:$F$346,6,0),IFERROR(VLOOKUP($B305,'Privacy Analyst Evaluation'!$A$46:$F$120,6,0),""))&amp;""</f>
        <v/>
      </c>
      <c r="G305" s="211"/>
      <c r="H305" s="210" t="str">
        <f>IFERROR(IF($H304+1&gt;'(backend scoring)'!$Q$335,"",$H304+1),"")</f>
        <v/>
      </c>
      <c r="I305" s="210" t="str">
        <f>_xlfn.XLOOKUP($H305,'(backend scoring)'!$S$2:$S$333,'(backend scoring)'!$A$2:$A$333,"")</f>
        <v/>
      </c>
      <c r="J305" s="210" t="str">
        <f>IFERROR(VLOOKUP($I305,'Institution Evaluation'!$A$55:$F$346,2,0),IFERROR(VLOOKUP($I305,'Privacy Analyst Evaluation'!$A$46:$F$120,2,0),""))</f>
        <v/>
      </c>
      <c r="K305" s="210" t="str">
        <f>IFERROR(VLOOKUP($I305,'Institution Evaluation'!$A$55:$F$346,3,0),IFERROR(VLOOKUP($I305,'Privacy Analyst Evaluation'!$A$46:$F$120,3,0),""))&amp;""</f>
        <v/>
      </c>
      <c r="L305" s="210" t="str">
        <f>IFERROR(VLOOKUP($I305,'Institution Evaluation'!$A$55:$F$346,4,0),IFERROR(VLOOKUP($I305,'Privacy Analyst Evaluation'!$A$46:$F$120,4,0),""))&amp;""</f>
        <v/>
      </c>
      <c r="M305" s="210"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2">
      <c r="A306" s="210" t="str">
        <f>IFERROR(IF($A305+1&gt;'(backend scoring)'!$T$335,"",$A305+1),"")</f>
        <v/>
      </c>
      <c r="B306" s="210" t="str">
        <f>_xlfn.XLOOKUP($A306,'(backend scoring)'!$V$2:$V$333,'(backend scoring)'!$A$2:$A$333,"")</f>
        <v/>
      </c>
      <c r="C306" s="210" t="str">
        <f>IFERROR(VLOOKUP($B306,'Institution Evaluation'!$A$55:$F$346,2,0),IFERROR(VLOOKUP($B306,'Privacy Analyst Evaluation'!$A$46:$F$120,2,0),""))&amp;""</f>
        <v/>
      </c>
      <c r="D306" s="210" t="str">
        <f>IFERROR(VLOOKUP($B306,'Institution Evaluation'!$A$55:$F$346,3,0),IFERROR(VLOOKUP($B306,'Privacy Analyst Evaluation'!$A$46:$F$120,3,0),""))&amp;""</f>
        <v/>
      </c>
      <c r="E306" s="210" t="str">
        <f>IFERROR(VLOOKUP($B306,'Institution Evaluation'!$A$55:$F$346,4,0),IFERROR(VLOOKUP($B306,'Privacy Analyst Evaluation'!$A$46:$F$120,4,0),""))&amp;""</f>
        <v/>
      </c>
      <c r="F306" s="210" t="str">
        <f>IFERROR(VLOOKUP($B306,'Institution Evaluation'!$A$55:$F$346,6,0),IFERROR(VLOOKUP($B306,'Privacy Analyst Evaluation'!$A$46:$F$120,6,0),""))&amp;""</f>
        <v/>
      </c>
      <c r="G306" s="211"/>
      <c r="H306" s="210" t="str">
        <f>IFERROR(IF($H305+1&gt;'(backend scoring)'!$Q$335,"",$H305+1),"")</f>
        <v/>
      </c>
      <c r="I306" s="210" t="str">
        <f>_xlfn.XLOOKUP($H306,'(backend scoring)'!$S$2:$S$333,'(backend scoring)'!$A$2:$A$333,"")</f>
        <v/>
      </c>
      <c r="J306" s="210" t="str">
        <f>IFERROR(VLOOKUP($I306,'Institution Evaluation'!$A$55:$F$346,2,0),IFERROR(VLOOKUP($I306,'Privacy Analyst Evaluation'!$A$46:$F$120,2,0),""))</f>
        <v/>
      </c>
      <c r="K306" s="210" t="str">
        <f>IFERROR(VLOOKUP($I306,'Institution Evaluation'!$A$55:$F$346,3,0),IFERROR(VLOOKUP($I306,'Privacy Analyst Evaluation'!$A$46:$F$120,3,0),""))&amp;""</f>
        <v/>
      </c>
      <c r="L306" s="210" t="str">
        <f>IFERROR(VLOOKUP($I306,'Institution Evaluation'!$A$55:$F$346,4,0),IFERROR(VLOOKUP($I306,'Privacy Analyst Evaluation'!$A$46:$F$120,4,0),""))&amp;""</f>
        <v/>
      </c>
      <c r="M306" s="210"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2">
      <c r="A307" s="210" t="str">
        <f>IFERROR(IF($A306+1&gt;'(backend scoring)'!$T$335,"",$A306+1),"")</f>
        <v/>
      </c>
      <c r="B307" s="210" t="str">
        <f>_xlfn.XLOOKUP($A307,'(backend scoring)'!$V$2:$V$333,'(backend scoring)'!$A$2:$A$333,"")</f>
        <v/>
      </c>
      <c r="C307" s="210" t="str">
        <f>IFERROR(VLOOKUP($B307,'Institution Evaluation'!$A$55:$F$346,2,0),IFERROR(VLOOKUP($B307,'Privacy Analyst Evaluation'!$A$46:$F$120,2,0),""))&amp;""</f>
        <v/>
      </c>
      <c r="D307" s="210" t="str">
        <f>IFERROR(VLOOKUP($B307,'Institution Evaluation'!$A$55:$F$346,3,0),IFERROR(VLOOKUP($B307,'Privacy Analyst Evaluation'!$A$46:$F$120,3,0),""))&amp;""</f>
        <v/>
      </c>
      <c r="E307" s="210" t="str">
        <f>IFERROR(VLOOKUP($B307,'Institution Evaluation'!$A$55:$F$346,4,0),IFERROR(VLOOKUP($B307,'Privacy Analyst Evaluation'!$A$46:$F$120,4,0),""))&amp;""</f>
        <v/>
      </c>
      <c r="F307" s="210" t="str">
        <f>IFERROR(VLOOKUP($B307,'Institution Evaluation'!$A$55:$F$346,6,0),IFERROR(VLOOKUP($B307,'Privacy Analyst Evaluation'!$A$46:$F$120,6,0),""))&amp;""</f>
        <v/>
      </c>
      <c r="G307" s="211"/>
      <c r="H307" s="210" t="str">
        <f>IFERROR(IF($H306+1&gt;'(backend scoring)'!$Q$335,"",$H306+1),"")</f>
        <v/>
      </c>
      <c r="I307" s="210" t="str">
        <f>_xlfn.XLOOKUP($H307,'(backend scoring)'!$S$2:$S$333,'(backend scoring)'!$A$2:$A$333,"")</f>
        <v/>
      </c>
      <c r="J307" s="210" t="str">
        <f>IFERROR(VLOOKUP($I307,'Institution Evaluation'!$A$55:$F$346,2,0),IFERROR(VLOOKUP($I307,'Privacy Analyst Evaluation'!$A$46:$F$120,2,0),""))</f>
        <v/>
      </c>
      <c r="K307" s="210" t="str">
        <f>IFERROR(VLOOKUP($I307,'Institution Evaluation'!$A$55:$F$346,3,0),IFERROR(VLOOKUP($I307,'Privacy Analyst Evaluation'!$A$46:$F$120,3,0),""))&amp;""</f>
        <v/>
      </c>
      <c r="L307" s="210" t="str">
        <f>IFERROR(VLOOKUP($I307,'Institution Evaluation'!$A$55:$F$346,4,0),IFERROR(VLOOKUP($I307,'Privacy Analyst Evaluation'!$A$46:$F$120,4,0),""))&amp;""</f>
        <v/>
      </c>
      <c r="M307" s="210"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2">
      <c r="A308" s="210" t="str">
        <f>IFERROR(IF($A307+1&gt;'(backend scoring)'!$T$335,"",$A307+1),"")</f>
        <v/>
      </c>
      <c r="B308" s="210" t="str">
        <f>_xlfn.XLOOKUP($A308,'(backend scoring)'!$V$2:$V$333,'(backend scoring)'!$A$2:$A$333,"")</f>
        <v/>
      </c>
      <c r="C308" s="210" t="str">
        <f>IFERROR(VLOOKUP($B308,'Institution Evaluation'!$A$55:$F$346,2,0),IFERROR(VLOOKUP($B308,'Privacy Analyst Evaluation'!$A$46:$F$120,2,0),""))&amp;""</f>
        <v/>
      </c>
      <c r="D308" s="210" t="str">
        <f>IFERROR(VLOOKUP($B308,'Institution Evaluation'!$A$55:$F$346,3,0),IFERROR(VLOOKUP($B308,'Privacy Analyst Evaluation'!$A$46:$F$120,3,0),""))&amp;""</f>
        <v/>
      </c>
      <c r="E308" s="210" t="str">
        <f>IFERROR(VLOOKUP($B308,'Institution Evaluation'!$A$55:$F$346,4,0),IFERROR(VLOOKUP($B308,'Privacy Analyst Evaluation'!$A$46:$F$120,4,0),""))&amp;""</f>
        <v/>
      </c>
      <c r="F308" s="210" t="str">
        <f>IFERROR(VLOOKUP($B308,'Institution Evaluation'!$A$55:$F$346,6,0),IFERROR(VLOOKUP($B308,'Privacy Analyst Evaluation'!$A$46:$F$120,6,0),""))&amp;""</f>
        <v/>
      </c>
      <c r="G308" s="211"/>
      <c r="H308" s="210" t="str">
        <f>IFERROR(IF($H307+1&gt;'(backend scoring)'!$Q$335,"",$H307+1),"")</f>
        <v/>
      </c>
      <c r="I308" s="210" t="str">
        <f>_xlfn.XLOOKUP($H308,'(backend scoring)'!$S$2:$S$333,'(backend scoring)'!$A$2:$A$333,"")</f>
        <v/>
      </c>
      <c r="J308" s="210" t="str">
        <f>IFERROR(VLOOKUP($I308,'Institution Evaluation'!$A$55:$F$346,2,0),IFERROR(VLOOKUP($I308,'Privacy Analyst Evaluation'!$A$46:$F$120,2,0),""))</f>
        <v/>
      </c>
      <c r="K308" s="210" t="str">
        <f>IFERROR(VLOOKUP($I308,'Institution Evaluation'!$A$55:$F$346,3,0),IFERROR(VLOOKUP($I308,'Privacy Analyst Evaluation'!$A$46:$F$120,3,0),""))&amp;""</f>
        <v/>
      </c>
      <c r="L308" s="210" t="str">
        <f>IFERROR(VLOOKUP($I308,'Institution Evaluation'!$A$55:$F$346,4,0),IFERROR(VLOOKUP($I308,'Privacy Analyst Evaluation'!$A$46:$F$120,4,0),""))&amp;""</f>
        <v/>
      </c>
      <c r="M308" s="210"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2">
      <c r="A309" s="210" t="str">
        <f>IFERROR(IF($A308+1&gt;'(backend scoring)'!$T$335,"",$A308+1),"")</f>
        <v/>
      </c>
      <c r="B309" s="210" t="str">
        <f>_xlfn.XLOOKUP($A309,'(backend scoring)'!$V$2:$V$333,'(backend scoring)'!$A$2:$A$333,"")</f>
        <v/>
      </c>
      <c r="C309" s="210" t="str">
        <f>IFERROR(VLOOKUP($B309,'Institution Evaluation'!$A$55:$F$346,2,0),IFERROR(VLOOKUP($B309,'Privacy Analyst Evaluation'!$A$46:$F$120,2,0),""))&amp;""</f>
        <v/>
      </c>
      <c r="D309" s="210" t="str">
        <f>IFERROR(VLOOKUP($B309,'Institution Evaluation'!$A$55:$F$346,3,0),IFERROR(VLOOKUP($B309,'Privacy Analyst Evaluation'!$A$46:$F$120,3,0),""))&amp;""</f>
        <v/>
      </c>
      <c r="E309" s="210" t="str">
        <f>IFERROR(VLOOKUP($B309,'Institution Evaluation'!$A$55:$F$346,4,0),IFERROR(VLOOKUP($B309,'Privacy Analyst Evaluation'!$A$46:$F$120,4,0),""))&amp;""</f>
        <v/>
      </c>
      <c r="F309" s="210" t="str">
        <f>IFERROR(VLOOKUP($B309,'Institution Evaluation'!$A$55:$F$346,6,0),IFERROR(VLOOKUP($B309,'Privacy Analyst Evaluation'!$A$46:$F$120,6,0),""))&amp;""</f>
        <v/>
      </c>
      <c r="G309" s="211"/>
      <c r="H309" s="210" t="str">
        <f>IFERROR(IF($H308+1&gt;'(backend scoring)'!$Q$335,"",$H308+1),"")</f>
        <v/>
      </c>
      <c r="I309" s="210" t="str">
        <f>_xlfn.XLOOKUP($H309,'(backend scoring)'!$S$2:$S$333,'(backend scoring)'!$A$2:$A$333,"")</f>
        <v/>
      </c>
      <c r="J309" s="210" t="str">
        <f>IFERROR(VLOOKUP($I309,'Institution Evaluation'!$A$55:$F$346,2,0),IFERROR(VLOOKUP($I309,'Privacy Analyst Evaluation'!$A$46:$F$120,2,0),""))</f>
        <v/>
      </c>
      <c r="K309" s="210" t="str">
        <f>IFERROR(VLOOKUP($I309,'Institution Evaluation'!$A$55:$F$346,3,0),IFERROR(VLOOKUP($I309,'Privacy Analyst Evaluation'!$A$46:$F$120,3,0),""))&amp;""</f>
        <v/>
      </c>
      <c r="L309" s="210" t="str">
        <f>IFERROR(VLOOKUP($I309,'Institution Evaluation'!$A$55:$F$346,4,0),IFERROR(VLOOKUP($I309,'Privacy Analyst Evaluation'!$A$46:$F$120,4,0),""))&amp;""</f>
        <v/>
      </c>
      <c r="M309" s="210"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2">
      <c r="A310" s="210" t="str">
        <f>IFERROR(IF($A309+1&gt;'(backend scoring)'!$T$335,"",$A309+1),"")</f>
        <v/>
      </c>
      <c r="B310" s="210" t="str">
        <f>_xlfn.XLOOKUP($A310,'(backend scoring)'!$V$2:$V$333,'(backend scoring)'!$A$2:$A$333,"")</f>
        <v/>
      </c>
      <c r="C310" s="210" t="str">
        <f>IFERROR(VLOOKUP($B310,'Institution Evaluation'!$A$55:$F$346,2,0),IFERROR(VLOOKUP($B310,'Privacy Analyst Evaluation'!$A$46:$F$120,2,0),""))&amp;""</f>
        <v/>
      </c>
      <c r="D310" s="210" t="str">
        <f>IFERROR(VLOOKUP($B310,'Institution Evaluation'!$A$55:$F$346,3,0),IFERROR(VLOOKUP($B310,'Privacy Analyst Evaluation'!$A$46:$F$120,3,0),""))&amp;""</f>
        <v/>
      </c>
      <c r="E310" s="210" t="str">
        <f>IFERROR(VLOOKUP($B310,'Institution Evaluation'!$A$55:$F$346,4,0),IFERROR(VLOOKUP($B310,'Privacy Analyst Evaluation'!$A$46:$F$120,4,0),""))&amp;""</f>
        <v/>
      </c>
      <c r="F310" s="210" t="str">
        <f>IFERROR(VLOOKUP($B310,'Institution Evaluation'!$A$55:$F$346,6,0),IFERROR(VLOOKUP($B310,'Privacy Analyst Evaluation'!$A$46:$F$120,6,0),""))&amp;""</f>
        <v/>
      </c>
      <c r="G310" s="211"/>
      <c r="H310" s="210" t="str">
        <f>IFERROR(IF($H309+1&gt;'(backend scoring)'!$Q$335,"",$H309+1),"")</f>
        <v/>
      </c>
      <c r="I310" s="210" t="str">
        <f>_xlfn.XLOOKUP($H310,'(backend scoring)'!$S$2:$S$333,'(backend scoring)'!$A$2:$A$333,"")</f>
        <v/>
      </c>
      <c r="J310" s="210" t="str">
        <f>IFERROR(VLOOKUP($I310,'Institution Evaluation'!$A$55:$F$346,2,0),IFERROR(VLOOKUP($I310,'Privacy Analyst Evaluation'!$A$46:$F$120,2,0),""))</f>
        <v/>
      </c>
      <c r="K310" s="210" t="str">
        <f>IFERROR(VLOOKUP($I310,'Institution Evaluation'!$A$55:$F$346,3,0),IFERROR(VLOOKUP($I310,'Privacy Analyst Evaluation'!$A$46:$F$120,3,0),""))&amp;""</f>
        <v/>
      </c>
      <c r="L310" s="210" t="str">
        <f>IFERROR(VLOOKUP($I310,'Institution Evaluation'!$A$55:$F$346,4,0),IFERROR(VLOOKUP($I310,'Privacy Analyst Evaluation'!$A$46:$F$120,4,0),""))&amp;""</f>
        <v/>
      </c>
      <c r="M310" s="210"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2">
      <c r="A311" s="210" t="str">
        <f>IFERROR(IF($A310+1&gt;'(backend scoring)'!$T$335,"",$A310+1),"")</f>
        <v/>
      </c>
      <c r="B311" s="210" t="str">
        <f>_xlfn.XLOOKUP($A311,'(backend scoring)'!$V$2:$V$333,'(backend scoring)'!$A$2:$A$333,"")</f>
        <v/>
      </c>
      <c r="C311" s="210" t="str">
        <f>IFERROR(VLOOKUP($B311,'Institution Evaluation'!$A$55:$F$346,2,0),IFERROR(VLOOKUP($B311,'Privacy Analyst Evaluation'!$A$46:$F$120,2,0),""))&amp;""</f>
        <v/>
      </c>
      <c r="D311" s="210" t="str">
        <f>IFERROR(VLOOKUP($B311,'Institution Evaluation'!$A$55:$F$346,3,0),IFERROR(VLOOKUP($B311,'Privacy Analyst Evaluation'!$A$46:$F$120,3,0),""))&amp;""</f>
        <v/>
      </c>
      <c r="E311" s="210" t="str">
        <f>IFERROR(VLOOKUP($B311,'Institution Evaluation'!$A$55:$F$346,4,0),IFERROR(VLOOKUP($B311,'Privacy Analyst Evaluation'!$A$46:$F$120,4,0),""))&amp;""</f>
        <v/>
      </c>
      <c r="F311" s="210" t="str">
        <f>IFERROR(VLOOKUP($B311,'Institution Evaluation'!$A$55:$F$346,6,0),IFERROR(VLOOKUP($B311,'Privacy Analyst Evaluation'!$A$46:$F$120,6,0),""))&amp;""</f>
        <v/>
      </c>
      <c r="G311" s="211"/>
      <c r="H311" s="210" t="str">
        <f>IFERROR(IF($H310+1&gt;'(backend scoring)'!$Q$335,"",$H310+1),"")</f>
        <v/>
      </c>
      <c r="I311" s="210" t="str">
        <f>_xlfn.XLOOKUP($H311,'(backend scoring)'!$S$2:$S$333,'(backend scoring)'!$A$2:$A$333,"")</f>
        <v/>
      </c>
      <c r="J311" s="210" t="str">
        <f>IFERROR(VLOOKUP($I311,'Institution Evaluation'!$A$55:$F$346,2,0),IFERROR(VLOOKUP($I311,'Privacy Analyst Evaluation'!$A$46:$F$120,2,0),""))</f>
        <v/>
      </c>
      <c r="K311" s="210" t="str">
        <f>IFERROR(VLOOKUP($I311,'Institution Evaluation'!$A$55:$F$346,3,0),IFERROR(VLOOKUP($I311,'Privacy Analyst Evaluation'!$A$46:$F$120,3,0),""))&amp;""</f>
        <v/>
      </c>
      <c r="L311" s="210" t="str">
        <f>IFERROR(VLOOKUP($I311,'Institution Evaluation'!$A$55:$F$346,4,0),IFERROR(VLOOKUP($I311,'Privacy Analyst Evaluation'!$A$46:$F$120,4,0),""))&amp;""</f>
        <v/>
      </c>
      <c r="M311" s="210"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2">
      <c r="A312" s="210" t="str">
        <f>IFERROR(IF($A311+1&gt;'(backend scoring)'!$T$335,"",$A311+1),"")</f>
        <v/>
      </c>
      <c r="B312" s="210" t="str">
        <f>_xlfn.XLOOKUP($A312,'(backend scoring)'!$V$2:$V$333,'(backend scoring)'!$A$2:$A$333,"")</f>
        <v/>
      </c>
      <c r="C312" s="210" t="str">
        <f>IFERROR(VLOOKUP($B312,'Institution Evaluation'!$A$55:$F$346,2,0),IFERROR(VLOOKUP($B312,'Privacy Analyst Evaluation'!$A$46:$F$120,2,0),""))&amp;""</f>
        <v/>
      </c>
      <c r="D312" s="210" t="str">
        <f>IFERROR(VLOOKUP($B312,'Institution Evaluation'!$A$55:$F$346,3,0),IFERROR(VLOOKUP($B312,'Privacy Analyst Evaluation'!$A$46:$F$120,3,0),""))&amp;""</f>
        <v/>
      </c>
      <c r="E312" s="210" t="str">
        <f>IFERROR(VLOOKUP($B312,'Institution Evaluation'!$A$55:$F$346,4,0),IFERROR(VLOOKUP($B312,'Privacy Analyst Evaluation'!$A$46:$F$120,4,0),""))&amp;""</f>
        <v/>
      </c>
      <c r="F312" s="210" t="str">
        <f>IFERROR(VLOOKUP($B312,'Institution Evaluation'!$A$55:$F$346,6,0),IFERROR(VLOOKUP($B312,'Privacy Analyst Evaluation'!$A$46:$F$120,6,0),""))&amp;""</f>
        <v/>
      </c>
      <c r="G312" s="211"/>
      <c r="H312" s="210" t="str">
        <f>IFERROR(IF($H311+1&gt;'(backend scoring)'!$Q$335,"",$H311+1),"")</f>
        <v/>
      </c>
      <c r="I312" s="210" t="str">
        <f>_xlfn.XLOOKUP($H312,'(backend scoring)'!$S$2:$S$333,'(backend scoring)'!$A$2:$A$333,"")</f>
        <v/>
      </c>
      <c r="J312" s="210" t="str">
        <f>IFERROR(VLOOKUP($I312,'Institution Evaluation'!$A$55:$F$346,2,0),IFERROR(VLOOKUP($I312,'Privacy Analyst Evaluation'!$A$46:$F$120,2,0),""))</f>
        <v/>
      </c>
      <c r="K312" s="210" t="str">
        <f>IFERROR(VLOOKUP($I312,'Institution Evaluation'!$A$55:$F$346,3,0),IFERROR(VLOOKUP($I312,'Privacy Analyst Evaluation'!$A$46:$F$120,3,0),""))&amp;""</f>
        <v/>
      </c>
      <c r="L312" s="210" t="str">
        <f>IFERROR(VLOOKUP($I312,'Institution Evaluation'!$A$55:$F$346,4,0),IFERROR(VLOOKUP($I312,'Privacy Analyst Evaluation'!$A$46:$F$120,4,0),""))&amp;""</f>
        <v/>
      </c>
      <c r="M312" s="210"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2">
      <c r="A313" s="210" t="str">
        <f>IFERROR(IF($A312+1&gt;'(backend scoring)'!$T$335,"",$A312+1),"")</f>
        <v/>
      </c>
      <c r="B313" s="210" t="str">
        <f>_xlfn.XLOOKUP($A313,'(backend scoring)'!$V$2:$V$333,'(backend scoring)'!$A$2:$A$333,"")</f>
        <v/>
      </c>
      <c r="C313" s="210" t="str">
        <f>IFERROR(VLOOKUP($B313,'Institution Evaluation'!$A$55:$F$346,2,0),IFERROR(VLOOKUP($B313,'Privacy Analyst Evaluation'!$A$46:$F$120,2,0),""))&amp;""</f>
        <v/>
      </c>
      <c r="D313" s="210" t="str">
        <f>IFERROR(VLOOKUP($B313,'Institution Evaluation'!$A$55:$F$346,3,0),IFERROR(VLOOKUP($B313,'Privacy Analyst Evaluation'!$A$46:$F$120,3,0),""))&amp;""</f>
        <v/>
      </c>
      <c r="E313" s="210" t="str">
        <f>IFERROR(VLOOKUP($B313,'Institution Evaluation'!$A$55:$F$346,4,0),IFERROR(VLOOKUP($B313,'Privacy Analyst Evaluation'!$A$46:$F$120,4,0),""))&amp;""</f>
        <v/>
      </c>
      <c r="F313" s="210" t="str">
        <f>IFERROR(VLOOKUP($B313,'Institution Evaluation'!$A$55:$F$346,6,0),IFERROR(VLOOKUP($B313,'Privacy Analyst Evaluation'!$A$46:$F$120,6,0),""))&amp;""</f>
        <v/>
      </c>
      <c r="G313" s="211"/>
      <c r="H313" s="210" t="str">
        <f>IFERROR(IF($H312+1&gt;'(backend scoring)'!$Q$335,"",$H312+1),"")</f>
        <v/>
      </c>
      <c r="I313" s="210" t="str">
        <f>_xlfn.XLOOKUP($H313,'(backend scoring)'!$S$2:$S$333,'(backend scoring)'!$A$2:$A$333,"")</f>
        <v/>
      </c>
      <c r="J313" s="210" t="str">
        <f>IFERROR(VLOOKUP($I313,'Institution Evaluation'!$A$55:$F$346,2,0),IFERROR(VLOOKUP($I313,'Privacy Analyst Evaluation'!$A$46:$F$120,2,0),""))</f>
        <v/>
      </c>
      <c r="K313" s="210" t="str">
        <f>IFERROR(VLOOKUP($I313,'Institution Evaluation'!$A$55:$F$346,3,0),IFERROR(VLOOKUP($I313,'Privacy Analyst Evaluation'!$A$46:$F$120,3,0),""))&amp;""</f>
        <v/>
      </c>
      <c r="L313" s="210" t="str">
        <f>IFERROR(VLOOKUP($I313,'Institution Evaluation'!$A$55:$F$346,4,0),IFERROR(VLOOKUP($I313,'Privacy Analyst Evaluation'!$A$46:$F$120,4,0),""))&amp;""</f>
        <v/>
      </c>
      <c r="M313" s="210"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2">
      <c r="A314" s="210" t="str">
        <f>IFERROR(IF($A313+1&gt;'(backend scoring)'!$T$335,"",$A313+1),"")</f>
        <v/>
      </c>
      <c r="B314" s="210" t="str">
        <f>_xlfn.XLOOKUP($A314,'(backend scoring)'!$V$2:$V$333,'(backend scoring)'!$A$2:$A$333,"")</f>
        <v/>
      </c>
      <c r="C314" s="210" t="str">
        <f>IFERROR(VLOOKUP($B314,'Institution Evaluation'!$A$55:$F$346,2,0),IFERROR(VLOOKUP($B314,'Privacy Analyst Evaluation'!$A$46:$F$120,2,0),""))&amp;""</f>
        <v/>
      </c>
      <c r="D314" s="210" t="str">
        <f>IFERROR(VLOOKUP($B314,'Institution Evaluation'!$A$55:$F$346,3,0),IFERROR(VLOOKUP($B314,'Privacy Analyst Evaluation'!$A$46:$F$120,3,0),""))&amp;""</f>
        <v/>
      </c>
      <c r="E314" s="210" t="str">
        <f>IFERROR(VLOOKUP($B314,'Institution Evaluation'!$A$55:$F$346,4,0),IFERROR(VLOOKUP($B314,'Privacy Analyst Evaluation'!$A$46:$F$120,4,0),""))&amp;""</f>
        <v/>
      </c>
      <c r="F314" s="210" t="str">
        <f>IFERROR(VLOOKUP($B314,'Institution Evaluation'!$A$55:$F$346,6,0),IFERROR(VLOOKUP($B314,'Privacy Analyst Evaluation'!$A$46:$F$120,6,0),""))&amp;""</f>
        <v/>
      </c>
      <c r="G314" s="211"/>
      <c r="H314" s="210" t="str">
        <f>IFERROR(IF($H313+1&gt;'(backend scoring)'!$Q$335,"",$H313+1),"")</f>
        <v/>
      </c>
      <c r="I314" s="210" t="str">
        <f>_xlfn.XLOOKUP($H314,'(backend scoring)'!$S$2:$S$333,'(backend scoring)'!$A$2:$A$333,"")</f>
        <v/>
      </c>
      <c r="J314" s="210" t="str">
        <f>IFERROR(VLOOKUP($I314,'Institution Evaluation'!$A$55:$F$346,2,0),IFERROR(VLOOKUP($I314,'Privacy Analyst Evaluation'!$A$46:$F$120,2,0),""))</f>
        <v/>
      </c>
      <c r="K314" s="210" t="str">
        <f>IFERROR(VLOOKUP($I314,'Institution Evaluation'!$A$55:$F$346,3,0),IFERROR(VLOOKUP($I314,'Privacy Analyst Evaluation'!$A$46:$F$120,3,0),""))&amp;""</f>
        <v/>
      </c>
      <c r="L314" s="210" t="str">
        <f>IFERROR(VLOOKUP($I314,'Institution Evaluation'!$A$55:$F$346,4,0),IFERROR(VLOOKUP($I314,'Privacy Analyst Evaluation'!$A$46:$F$120,4,0),""))&amp;""</f>
        <v/>
      </c>
      <c r="M314" s="210"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2">
      <c r="A315" s="210" t="str">
        <f>IFERROR(IF($A314+1&gt;'(backend scoring)'!$T$335,"",$A314+1),"")</f>
        <v/>
      </c>
      <c r="B315" s="210" t="str">
        <f>_xlfn.XLOOKUP($A315,'(backend scoring)'!$V$2:$V$333,'(backend scoring)'!$A$2:$A$333,"")</f>
        <v/>
      </c>
      <c r="C315" s="210" t="str">
        <f>IFERROR(VLOOKUP($B315,'Institution Evaluation'!$A$55:$F$346,2,0),IFERROR(VLOOKUP($B315,'Privacy Analyst Evaluation'!$A$46:$F$120,2,0),""))&amp;""</f>
        <v/>
      </c>
      <c r="D315" s="210" t="str">
        <f>IFERROR(VLOOKUP($B315,'Institution Evaluation'!$A$55:$F$346,3,0),IFERROR(VLOOKUP($B315,'Privacy Analyst Evaluation'!$A$46:$F$120,3,0),""))&amp;""</f>
        <v/>
      </c>
      <c r="E315" s="210" t="str">
        <f>IFERROR(VLOOKUP($B315,'Institution Evaluation'!$A$55:$F$346,4,0),IFERROR(VLOOKUP($B315,'Privacy Analyst Evaluation'!$A$46:$F$120,4,0),""))&amp;""</f>
        <v/>
      </c>
      <c r="F315" s="210" t="str">
        <f>IFERROR(VLOOKUP($B315,'Institution Evaluation'!$A$55:$F$346,6,0),IFERROR(VLOOKUP($B315,'Privacy Analyst Evaluation'!$A$46:$F$120,6,0),""))&amp;""</f>
        <v/>
      </c>
      <c r="G315" s="211"/>
      <c r="H315" s="210" t="str">
        <f>IFERROR(IF($H314+1&gt;'(backend scoring)'!$Q$335,"",$H314+1),"")</f>
        <v/>
      </c>
      <c r="I315" s="210" t="str">
        <f>_xlfn.XLOOKUP($H315,'(backend scoring)'!$S$2:$S$333,'(backend scoring)'!$A$2:$A$333,"")</f>
        <v/>
      </c>
      <c r="J315" s="210" t="str">
        <f>IFERROR(VLOOKUP($I315,'Institution Evaluation'!$A$55:$F$346,2,0),IFERROR(VLOOKUP($I315,'Privacy Analyst Evaluation'!$A$46:$F$120,2,0),""))</f>
        <v/>
      </c>
      <c r="K315" s="210" t="str">
        <f>IFERROR(VLOOKUP($I315,'Institution Evaluation'!$A$55:$F$346,3,0),IFERROR(VLOOKUP($I315,'Privacy Analyst Evaluation'!$A$46:$F$120,3,0),""))&amp;""</f>
        <v/>
      </c>
      <c r="L315" s="210" t="str">
        <f>IFERROR(VLOOKUP($I315,'Institution Evaluation'!$A$55:$F$346,4,0),IFERROR(VLOOKUP($I315,'Privacy Analyst Evaluation'!$A$46:$F$120,4,0),""))&amp;""</f>
        <v/>
      </c>
      <c r="M315" s="210"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2">
      <c r="A316" s="210" t="str">
        <f>IFERROR(IF($A315+1&gt;'(backend scoring)'!$T$335,"",$A315+1),"")</f>
        <v/>
      </c>
      <c r="B316" s="210" t="str">
        <f>_xlfn.XLOOKUP($A316,'(backend scoring)'!$V$2:$V$333,'(backend scoring)'!$A$2:$A$333,"")</f>
        <v/>
      </c>
      <c r="C316" s="210" t="str">
        <f>IFERROR(VLOOKUP($B316,'Institution Evaluation'!$A$55:$F$346,2,0),IFERROR(VLOOKUP($B316,'Privacy Analyst Evaluation'!$A$46:$F$120,2,0),""))&amp;""</f>
        <v/>
      </c>
      <c r="D316" s="210" t="str">
        <f>IFERROR(VLOOKUP($B316,'Institution Evaluation'!$A$55:$F$346,3,0),IFERROR(VLOOKUP($B316,'Privacy Analyst Evaluation'!$A$46:$F$120,3,0),""))&amp;""</f>
        <v/>
      </c>
      <c r="E316" s="210" t="str">
        <f>IFERROR(VLOOKUP($B316,'Institution Evaluation'!$A$55:$F$346,4,0),IFERROR(VLOOKUP($B316,'Privacy Analyst Evaluation'!$A$46:$F$120,4,0),""))&amp;""</f>
        <v/>
      </c>
      <c r="F316" s="210" t="str">
        <f>IFERROR(VLOOKUP($B316,'Institution Evaluation'!$A$55:$F$346,6,0),IFERROR(VLOOKUP($B316,'Privacy Analyst Evaluation'!$A$46:$F$120,6,0),""))&amp;""</f>
        <v/>
      </c>
      <c r="G316" s="211"/>
      <c r="H316" s="210" t="str">
        <f>IFERROR(IF($H315+1&gt;'(backend scoring)'!$Q$335,"",$H315+1),"")</f>
        <v/>
      </c>
      <c r="I316" s="210" t="str">
        <f>_xlfn.XLOOKUP($H316,'(backend scoring)'!$S$2:$S$333,'(backend scoring)'!$A$2:$A$333,"")</f>
        <v/>
      </c>
      <c r="J316" s="210" t="str">
        <f>IFERROR(VLOOKUP($I316,'Institution Evaluation'!$A$55:$F$346,2,0),IFERROR(VLOOKUP($I316,'Privacy Analyst Evaluation'!$A$46:$F$120,2,0),""))</f>
        <v/>
      </c>
      <c r="K316" s="210" t="str">
        <f>IFERROR(VLOOKUP($I316,'Institution Evaluation'!$A$55:$F$346,3,0),IFERROR(VLOOKUP($I316,'Privacy Analyst Evaluation'!$A$46:$F$120,3,0),""))&amp;""</f>
        <v/>
      </c>
      <c r="L316" s="210" t="str">
        <f>IFERROR(VLOOKUP($I316,'Institution Evaluation'!$A$55:$F$346,4,0),IFERROR(VLOOKUP($I316,'Privacy Analyst Evaluation'!$A$46:$F$120,4,0),""))&amp;""</f>
        <v/>
      </c>
      <c r="M316" s="210"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2">
      <c r="A317" s="210" t="str">
        <f>IFERROR(IF($A316+1&gt;'(backend scoring)'!$T$335,"",$A316+1),"")</f>
        <v/>
      </c>
      <c r="B317" s="210" t="str">
        <f>_xlfn.XLOOKUP($A317,'(backend scoring)'!$V$2:$V$333,'(backend scoring)'!$A$2:$A$333,"")</f>
        <v/>
      </c>
      <c r="C317" s="210" t="str">
        <f>IFERROR(VLOOKUP($B317,'Institution Evaluation'!$A$55:$F$346,2,0),IFERROR(VLOOKUP($B317,'Privacy Analyst Evaluation'!$A$46:$F$120,2,0),""))&amp;""</f>
        <v/>
      </c>
      <c r="D317" s="210" t="str">
        <f>IFERROR(VLOOKUP($B317,'Institution Evaluation'!$A$55:$F$346,3,0),IFERROR(VLOOKUP($B317,'Privacy Analyst Evaluation'!$A$46:$F$120,3,0),""))&amp;""</f>
        <v/>
      </c>
      <c r="E317" s="210" t="str">
        <f>IFERROR(VLOOKUP($B317,'Institution Evaluation'!$A$55:$F$346,4,0),IFERROR(VLOOKUP($B317,'Privacy Analyst Evaluation'!$A$46:$F$120,4,0),""))&amp;""</f>
        <v/>
      </c>
      <c r="F317" s="210" t="str">
        <f>IFERROR(VLOOKUP($B317,'Institution Evaluation'!$A$55:$F$346,6,0),IFERROR(VLOOKUP($B317,'Privacy Analyst Evaluation'!$A$46:$F$120,6,0),""))&amp;""</f>
        <v/>
      </c>
      <c r="G317" s="211"/>
      <c r="H317" s="210" t="str">
        <f>IFERROR(IF($H316+1&gt;'(backend scoring)'!$Q$335,"",$H316+1),"")</f>
        <v/>
      </c>
      <c r="I317" s="210" t="str">
        <f>_xlfn.XLOOKUP($H317,'(backend scoring)'!$S$2:$S$333,'(backend scoring)'!$A$2:$A$333,"")</f>
        <v/>
      </c>
      <c r="J317" s="210" t="str">
        <f>IFERROR(VLOOKUP($I317,'Institution Evaluation'!$A$55:$F$346,2,0),IFERROR(VLOOKUP($I317,'Privacy Analyst Evaluation'!$A$46:$F$120,2,0),""))</f>
        <v/>
      </c>
      <c r="K317" s="210" t="str">
        <f>IFERROR(VLOOKUP($I317,'Institution Evaluation'!$A$55:$F$346,3,0),IFERROR(VLOOKUP($I317,'Privacy Analyst Evaluation'!$A$46:$F$120,3,0),""))&amp;""</f>
        <v/>
      </c>
      <c r="L317" s="210" t="str">
        <f>IFERROR(VLOOKUP($I317,'Institution Evaluation'!$A$55:$F$346,4,0),IFERROR(VLOOKUP($I317,'Privacy Analyst Evaluation'!$A$46:$F$120,4,0),""))&amp;""</f>
        <v/>
      </c>
      <c r="M317" s="210"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2">
      <c r="A318" s="210" t="str">
        <f>IFERROR(IF($A317+1&gt;'(backend scoring)'!$T$335,"",$A317+1),"")</f>
        <v/>
      </c>
      <c r="B318" s="210" t="str">
        <f>_xlfn.XLOOKUP($A318,'(backend scoring)'!$V$2:$V$333,'(backend scoring)'!$A$2:$A$333,"")</f>
        <v/>
      </c>
      <c r="C318" s="210" t="str">
        <f>IFERROR(VLOOKUP($B318,'Institution Evaluation'!$A$55:$F$346,2,0),IFERROR(VLOOKUP($B318,'Privacy Analyst Evaluation'!$A$46:$F$120,2,0),""))&amp;""</f>
        <v/>
      </c>
      <c r="D318" s="210" t="str">
        <f>IFERROR(VLOOKUP($B318,'Institution Evaluation'!$A$55:$F$346,3,0),IFERROR(VLOOKUP($B318,'Privacy Analyst Evaluation'!$A$46:$F$120,3,0),""))&amp;""</f>
        <v/>
      </c>
      <c r="E318" s="210" t="str">
        <f>IFERROR(VLOOKUP($B318,'Institution Evaluation'!$A$55:$F$346,4,0),IFERROR(VLOOKUP($B318,'Privacy Analyst Evaluation'!$A$46:$F$120,4,0),""))&amp;""</f>
        <v/>
      </c>
      <c r="F318" s="210" t="str">
        <f>IFERROR(VLOOKUP($B318,'Institution Evaluation'!$A$55:$F$346,6,0),IFERROR(VLOOKUP($B318,'Privacy Analyst Evaluation'!$A$46:$F$120,6,0),""))&amp;""</f>
        <v/>
      </c>
      <c r="G318" s="211"/>
      <c r="H318" s="210" t="str">
        <f>IFERROR(IF($H317+1&gt;'(backend scoring)'!$Q$335,"",$H317+1),"")</f>
        <v/>
      </c>
      <c r="I318" s="210" t="str">
        <f>_xlfn.XLOOKUP($H318,'(backend scoring)'!$S$2:$S$333,'(backend scoring)'!$A$2:$A$333,"")</f>
        <v/>
      </c>
      <c r="J318" s="210" t="str">
        <f>IFERROR(VLOOKUP($I318,'Institution Evaluation'!$A$55:$F$346,2,0),IFERROR(VLOOKUP($I318,'Privacy Analyst Evaluation'!$A$46:$F$120,2,0),""))</f>
        <v/>
      </c>
      <c r="K318" s="210" t="str">
        <f>IFERROR(VLOOKUP($I318,'Institution Evaluation'!$A$55:$F$346,3,0),IFERROR(VLOOKUP($I318,'Privacy Analyst Evaluation'!$A$46:$F$120,3,0),""))&amp;""</f>
        <v/>
      </c>
      <c r="L318" s="210" t="str">
        <f>IFERROR(VLOOKUP($I318,'Institution Evaluation'!$A$55:$F$346,4,0),IFERROR(VLOOKUP($I318,'Privacy Analyst Evaluation'!$A$46:$F$120,4,0),""))&amp;""</f>
        <v/>
      </c>
      <c r="M318" s="210"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2">
      <c r="A319" s="210" t="str">
        <f>IFERROR(IF($A318+1&gt;'(backend scoring)'!$T$335,"",$A318+1),"")</f>
        <v/>
      </c>
      <c r="B319" s="210" t="str">
        <f>_xlfn.XLOOKUP($A319,'(backend scoring)'!$V$2:$V$333,'(backend scoring)'!$A$2:$A$333,"")</f>
        <v/>
      </c>
      <c r="C319" s="210" t="str">
        <f>IFERROR(VLOOKUP($B319,'Institution Evaluation'!$A$55:$F$346,2,0),IFERROR(VLOOKUP($B319,'Privacy Analyst Evaluation'!$A$46:$F$120,2,0),""))&amp;""</f>
        <v/>
      </c>
      <c r="D319" s="210" t="str">
        <f>IFERROR(VLOOKUP($B319,'Institution Evaluation'!$A$55:$F$346,3,0),IFERROR(VLOOKUP($B319,'Privacy Analyst Evaluation'!$A$46:$F$120,3,0),""))&amp;""</f>
        <v/>
      </c>
      <c r="E319" s="210" t="str">
        <f>IFERROR(VLOOKUP($B319,'Institution Evaluation'!$A$55:$F$346,4,0),IFERROR(VLOOKUP($B319,'Privacy Analyst Evaluation'!$A$46:$F$120,4,0),""))&amp;""</f>
        <v/>
      </c>
      <c r="F319" s="210" t="str">
        <f>IFERROR(VLOOKUP($B319,'Institution Evaluation'!$A$55:$F$346,6,0),IFERROR(VLOOKUP($B319,'Privacy Analyst Evaluation'!$A$46:$F$120,6,0),""))&amp;""</f>
        <v/>
      </c>
      <c r="G319" s="211"/>
      <c r="H319" s="210" t="str">
        <f>IFERROR(IF($H318+1&gt;'(backend scoring)'!$Q$335,"",$H318+1),"")</f>
        <v/>
      </c>
      <c r="I319" s="210" t="str">
        <f>_xlfn.XLOOKUP($H319,'(backend scoring)'!$S$2:$S$333,'(backend scoring)'!$A$2:$A$333,"")</f>
        <v/>
      </c>
      <c r="J319" s="210" t="str">
        <f>IFERROR(VLOOKUP($I319,'Institution Evaluation'!$A$55:$F$346,2,0),IFERROR(VLOOKUP($I319,'Privacy Analyst Evaluation'!$A$46:$F$120,2,0),""))</f>
        <v/>
      </c>
      <c r="K319" s="210" t="str">
        <f>IFERROR(VLOOKUP($I319,'Institution Evaluation'!$A$55:$F$346,3,0),IFERROR(VLOOKUP($I319,'Privacy Analyst Evaluation'!$A$46:$F$120,3,0),""))&amp;""</f>
        <v/>
      </c>
      <c r="L319" s="210" t="str">
        <f>IFERROR(VLOOKUP($I319,'Institution Evaluation'!$A$55:$F$346,4,0),IFERROR(VLOOKUP($I319,'Privacy Analyst Evaluation'!$A$46:$F$120,4,0),""))&amp;""</f>
        <v/>
      </c>
      <c r="M319" s="210"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2">
      <c r="A320" s="210" t="str">
        <f>IFERROR(IF($A319+1&gt;'(backend scoring)'!$T$335,"",$A319+1),"")</f>
        <v/>
      </c>
      <c r="B320" s="210" t="str">
        <f>_xlfn.XLOOKUP($A320,'(backend scoring)'!$V$2:$V$333,'(backend scoring)'!$A$2:$A$333,"")</f>
        <v/>
      </c>
      <c r="C320" s="210" t="str">
        <f>IFERROR(VLOOKUP($B320,'Institution Evaluation'!$A$55:$F$346,2,0),IFERROR(VLOOKUP($B320,'Privacy Analyst Evaluation'!$A$46:$F$120,2,0),""))&amp;""</f>
        <v/>
      </c>
      <c r="D320" s="210" t="str">
        <f>IFERROR(VLOOKUP($B320,'Institution Evaluation'!$A$55:$F$346,3,0),IFERROR(VLOOKUP($B320,'Privacy Analyst Evaluation'!$A$46:$F$120,3,0),""))&amp;""</f>
        <v/>
      </c>
      <c r="E320" s="210" t="str">
        <f>IFERROR(VLOOKUP($B320,'Institution Evaluation'!$A$55:$F$346,4,0),IFERROR(VLOOKUP($B320,'Privacy Analyst Evaluation'!$A$46:$F$120,4,0),""))&amp;""</f>
        <v/>
      </c>
      <c r="F320" s="210" t="str">
        <f>IFERROR(VLOOKUP($B320,'Institution Evaluation'!$A$55:$F$346,6,0),IFERROR(VLOOKUP($B320,'Privacy Analyst Evaluation'!$A$46:$F$120,6,0),""))&amp;""</f>
        <v/>
      </c>
      <c r="G320" s="211"/>
      <c r="H320" s="210" t="str">
        <f>IFERROR(IF($H319+1&gt;'(backend scoring)'!$Q$335,"",$H319+1),"")</f>
        <v/>
      </c>
      <c r="I320" s="210" t="str">
        <f>_xlfn.XLOOKUP($H320,'(backend scoring)'!$S$2:$S$333,'(backend scoring)'!$A$2:$A$333,"")</f>
        <v/>
      </c>
      <c r="J320" s="210" t="str">
        <f>IFERROR(VLOOKUP($I320,'Institution Evaluation'!$A$55:$F$346,2,0),IFERROR(VLOOKUP($I320,'Privacy Analyst Evaluation'!$A$46:$F$120,2,0),""))</f>
        <v/>
      </c>
      <c r="K320" s="210" t="str">
        <f>IFERROR(VLOOKUP($I320,'Institution Evaluation'!$A$55:$F$346,3,0),IFERROR(VLOOKUP($I320,'Privacy Analyst Evaluation'!$A$46:$F$120,3,0),""))&amp;""</f>
        <v/>
      </c>
      <c r="L320" s="210" t="str">
        <f>IFERROR(VLOOKUP($I320,'Institution Evaluation'!$A$55:$F$346,4,0),IFERROR(VLOOKUP($I320,'Privacy Analyst Evaluation'!$A$46:$F$120,4,0),""))&amp;""</f>
        <v/>
      </c>
      <c r="M320" s="210"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2">
      <c r="A321" s="210" t="str">
        <f>IFERROR(IF($A320+1&gt;'(backend scoring)'!$T$335,"",$A320+1),"")</f>
        <v/>
      </c>
      <c r="B321" s="210" t="str">
        <f>_xlfn.XLOOKUP($A321,'(backend scoring)'!$V$2:$V$333,'(backend scoring)'!$A$2:$A$333,"")</f>
        <v/>
      </c>
      <c r="C321" s="210" t="str">
        <f>IFERROR(VLOOKUP($B321,'Institution Evaluation'!$A$55:$F$346,2,0),IFERROR(VLOOKUP($B321,'Privacy Analyst Evaluation'!$A$46:$F$120,2,0),""))&amp;""</f>
        <v/>
      </c>
      <c r="D321" s="210" t="str">
        <f>IFERROR(VLOOKUP($B321,'Institution Evaluation'!$A$55:$F$346,3,0),IFERROR(VLOOKUP($B321,'Privacy Analyst Evaluation'!$A$46:$F$120,3,0),""))&amp;""</f>
        <v/>
      </c>
      <c r="E321" s="210" t="str">
        <f>IFERROR(VLOOKUP($B321,'Institution Evaluation'!$A$55:$F$346,4,0),IFERROR(VLOOKUP($B321,'Privacy Analyst Evaluation'!$A$46:$F$120,4,0),""))&amp;""</f>
        <v/>
      </c>
      <c r="F321" s="210" t="str">
        <f>IFERROR(VLOOKUP($B321,'Institution Evaluation'!$A$55:$F$346,6,0),IFERROR(VLOOKUP($B321,'Privacy Analyst Evaluation'!$A$46:$F$120,6,0),""))&amp;""</f>
        <v/>
      </c>
      <c r="G321" s="211"/>
      <c r="H321" s="210" t="str">
        <f>IFERROR(IF($H320+1&gt;'(backend scoring)'!$Q$335,"",$H320+1),"")</f>
        <v/>
      </c>
      <c r="I321" s="210" t="str">
        <f>_xlfn.XLOOKUP($H321,'(backend scoring)'!$S$2:$S$333,'(backend scoring)'!$A$2:$A$333,"")</f>
        <v/>
      </c>
      <c r="J321" s="210" t="str">
        <f>IFERROR(VLOOKUP($I321,'Institution Evaluation'!$A$55:$F$346,2,0),IFERROR(VLOOKUP($I321,'Privacy Analyst Evaluation'!$A$46:$F$120,2,0),""))</f>
        <v/>
      </c>
      <c r="K321" s="210" t="str">
        <f>IFERROR(VLOOKUP($I321,'Institution Evaluation'!$A$55:$F$346,3,0),IFERROR(VLOOKUP($I321,'Privacy Analyst Evaluation'!$A$46:$F$120,3,0),""))&amp;""</f>
        <v/>
      </c>
      <c r="L321" s="210" t="str">
        <f>IFERROR(VLOOKUP($I321,'Institution Evaluation'!$A$55:$F$346,4,0),IFERROR(VLOOKUP($I321,'Privacy Analyst Evaluation'!$A$46:$F$120,4,0),""))&amp;""</f>
        <v/>
      </c>
      <c r="M321" s="210"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2">
      <c r="A322" s="210" t="str">
        <f>IFERROR(IF($A321+1&gt;'(backend scoring)'!$T$335,"",$A321+1),"")</f>
        <v/>
      </c>
      <c r="B322" s="210" t="str">
        <f>_xlfn.XLOOKUP($A322,'(backend scoring)'!$V$2:$V$333,'(backend scoring)'!$A$2:$A$333,"")</f>
        <v/>
      </c>
      <c r="C322" s="210" t="str">
        <f>IFERROR(VLOOKUP($B322,'Institution Evaluation'!$A$55:$F$346,2,0),IFERROR(VLOOKUP($B322,'Privacy Analyst Evaluation'!$A$46:$F$120,2,0),""))&amp;""</f>
        <v/>
      </c>
      <c r="D322" s="210" t="str">
        <f>IFERROR(VLOOKUP($B322,'Institution Evaluation'!$A$55:$F$346,3,0),IFERROR(VLOOKUP($B322,'Privacy Analyst Evaluation'!$A$46:$F$120,3,0),""))&amp;""</f>
        <v/>
      </c>
      <c r="E322" s="210" t="str">
        <f>IFERROR(VLOOKUP($B322,'Institution Evaluation'!$A$55:$F$346,4,0),IFERROR(VLOOKUP($B322,'Privacy Analyst Evaluation'!$A$46:$F$120,4,0),""))&amp;""</f>
        <v/>
      </c>
      <c r="F322" s="210" t="str">
        <f>IFERROR(VLOOKUP($B322,'Institution Evaluation'!$A$55:$F$346,6,0),IFERROR(VLOOKUP($B322,'Privacy Analyst Evaluation'!$A$46:$F$120,6,0),""))&amp;""</f>
        <v/>
      </c>
      <c r="G322" s="211"/>
      <c r="H322" s="210" t="str">
        <f>IFERROR(IF($H321+1&gt;'(backend scoring)'!$Q$335,"",$H321+1),"")</f>
        <v/>
      </c>
      <c r="I322" s="210" t="str">
        <f>_xlfn.XLOOKUP($H322,'(backend scoring)'!$S$2:$S$333,'(backend scoring)'!$A$2:$A$333,"")</f>
        <v/>
      </c>
      <c r="J322" s="210" t="str">
        <f>IFERROR(VLOOKUP($I322,'Institution Evaluation'!$A$55:$F$346,2,0),IFERROR(VLOOKUP($I322,'Privacy Analyst Evaluation'!$A$46:$F$120,2,0),""))</f>
        <v/>
      </c>
      <c r="K322" s="210" t="str">
        <f>IFERROR(VLOOKUP($I322,'Institution Evaluation'!$A$55:$F$346,3,0),IFERROR(VLOOKUP($I322,'Privacy Analyst Evaluation'!$A$46:$F$120,3,0),""))&amp;""</f>
        <v/>
      </c>
      <c r="L322" s="210" t="str">
        <f>IFERROR(VLOOKUP($I322,'Institution Evaluation'!$A$55:$F$346,4,0),IFERROR(VLOOKUP($I322,'Privacy Analyst Evaluation'!$A$46:$F$120,4,0),""))&amp;""</f>
        <v/>
      </c>
      <c r="M322" s="210"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2">
      <c r="A323" s="210" t="str">
        <f>IFERROR(IF($A322+1&gt;'(backend scoring)'!$T$335,"",$A322+1),"")</f>
        <v/>
      </c>
      <c r="B323" s="210" t="str">
        <f>_xlfn.XLOOKUP($A323,'(backend scoring)'!$V$2:$V$333,'(backend scoring)'!$A$2:$A$333,"")</f>
        <v/>
      </c>
      <c r="C323" s="210" t="str">
        <f>IFERROR(VLOOKUP($B323,'Institution Evaluation'!$A$55:$F$346,2,0),IFERROR(VLOOKUP($B323,'Privacy Analyst Evaluation'!$A$46:$F$120,2,0),""))&amp;""</f>
        <v/>
      </c>
      <c r="D323" s="210" t="str">
        <f>IFERROR(VLOOKUP($B323,'Institution Evaluation'!$A$55:$F$346,3,0),IFERROR(VLOOKUP($B323,'Privacy Analyst Evaluation'!$A$46:$F$120,3,0),""))&amp;""</f>
        <v/>
      </c>
      <c r="E323" s="210" t="str">
        <f>IFERROR(VLOOKUP($B323,'Institution Evaluation'!$A$55:$F$346,4,0),IFERROR(VLOOKUP($B323,'Privacy Analyst Evaluation'!$A$46:$F$120,4,0),""))&amp;""</f>
        <v/>
      </c>
      <c r="F323" s="210" t="str">
        <f>IFERROR(VLOOKUP($B323,'Institution Evaluation'!$A$55:$F$346,6,0),IFERROR(VLOOKUP($B323,'Privacy Analyst Evaluation'!$A$46:$F$120,6,0),""))&amp;""</f>
        <v/>
      </c>
      <c r="G323" s="211"/>
      <c r="H323" s="210" t="str">
        <f>IFERROR(IF($H322+1&gt;'(backend scoring)'!$Q$335,"",$H322+1),"")</f>
        <v/>
      </c>
      <c r="I323" s="210" t="str">
        <f>_xlfn.XLOOKUP($H323,'(backend scoring)'!$S$2:$S$333,'(backend scoring)'!$A$2:$A$333,"")</f>
        <v/>
      </c>
      <c r="J323" s="210" t="str">
        <f>IFERROR(VLOOKUP($I323,'Institution Evaluation'!$A$55:$F$346,2,0),IFERROR(VLOOKUP($I323,'Privacy Analyst Evaluation'!$A$46:$F$120,2,0),""))</f>
        <v/>
      </c>
      <c r="K323" s="210" t="str">
        <f>IFERROR(VLOOKUP($I323,'Institution Evaluation'!$A$55:$F$346,3,0),IFERROR(VLOOKUP($I323,'Privacy Analyst Evaluation'!$A$46:$F$120,3,0),""))&amp;""</f>
        <v/>
      </c>
      <c r="L323" s="210" t="str">
        <f>IFERROR(VLOOKUP($I323,'Institution Evaluation'!$A$55:$F$346,4,0),IFERROR(VLOOKUP($I323,'Privacy Analyst Evaluation'!$A$46:$F$120,4,0),""))&amp;""</f>
        <v/>
      </c>
      <c r="M323" s="210"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2">
      <c r="A324" s="210" t="str">
        <f>IFERROR(IF($A323+1&gt;'(backend scoring)'!$T$335,"",$A323+1),"")</f>
        <v/>
      </c>
      <c r="B324" s="210" t="str">
        <f>_xlfn.XLOOKUP($A324,'(backend scoring)'!$V$2:$V$333,'(backend scoring)'!$A$2:$A$333,"")</f>
        <v/>
      </c>
      <c r="C324" s="210" t="str">
        <f>IFERROR(VLOOKUP($B324,'Institution Evaluation'!$A$55:$F$346,2,0),IFERROR(VLOOKUP($B324,'Privacy Analyst Evaluation'!$A$46:$F$120,2,0),""))&amp;""</f>
        <v/>
      </c>
      <c r="D324" s="210" t="str">
        <f>IFERROR(VLOOKUP($B324,'Institution Evaluation'!$A$55:$F$346,3,0),IFERROR(VLOOKUP($B324,'Privacy Analyst Evaluation'!$A$46:$F$120,3,0),""))&amp;""</f>
        <v/>
      </c>
      <c r="E324" s="210" t="str">
        <f>IFERROR(VLOOKUP($B324,'Institution Evaluation'!$A$55:$F$346,4,0),IFERROR(VLOOKUP($B324,'Privacy Analyst Evaluation'!$A$46:$F$120,4,0),""))&amp;""</f>
        <v/>
      </c>
      <c r="F324" s="210" t="str">
        <f>IFERROR(VLOOKUP($B324,'Institution Evaluation'!$A$55:$F$346,6,0),IFERROR(VLOOKUP($B324,'Privacy Analyst Evaluation'!$A$46:$F$120,6,0),""))&amp;""</f>
        <v/>
      </c>
      <c r="G324" s="211"/>
      <c r="H324" s="210" t="str">
        <f>IFERROR(IF($H323+1&gt;'(backend scoring)'!$Q$335,"",$H323+1),"")</f>
        <v/>
      </c>
      <c r="I324" s="210" t="str">
        <f>_xlfn.XLOOKUP($H324,'(backend scoring)'!$S$2:$S$333,'(backend scoring)'!$A$2:$A$333,"")</f>
        <v/>
      </c>
      <c r="J324" s="210" t="str">
        <f>IFERROR(VLOOKUP($I324,'Institution Evaluation'!$A$55:$F$346,2,0),IFERROR(VLOOKUP($I324,'Privacy Analyst Evaluation'!$A$46:$F$120,2,0),""))</f>
        <v/>
      </c>
      <c r="K324" s="210" t="str">
        <f>IFERROR(VLOOKUP($I324,'Institution Evaluation'!$A$55:$F$346,3,0),IFERROR(VLOOKUP($I324,'Privacy Analyst Evaluation'!$A$46:$F$120,3,0),""))&amp;""</f>
        <v/>
      </c>
      <c r="L324" s="210" t="str">
        <f>IFERROR(VLOOKUP($I324,'Institution Evaluation'!$A$55:$F$346,4,0),IFERROR(VLOOKUP($I324,'Privacy Analyst Evaluation'!$A$46:$F$120,4,0),""))&amp;""</f>
        <v/>
      </c>
      <c r="M324" s="210"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2">
      <c r="A325" s="210" t="str">
        <f>IFERROR(IF($A324+1&gt;'(backend scoring)'!$T$335,"",$A324+1),"")</f>
        <v/>
      </c>
      <c r="B325" s="210" t="str">
        <f>_xlfn.XLOOKUP($A325,'(backend scoring)'!$V$2:$V$333,'(backend scoring)'!$A$2:$A$333,"")</f>
        <v/>
      </c>
      <c r="C325" s="210" t="str">
        <f>IFERROR(VLOOKUP($B325,'Institution Evaluation'!$A$55:$F$346,2,0),IFERROR(VLOOKUP($B325,'Privacy Analyst Evaluation'!$A$46:$F$120,2,0),""))&amp;""</f>
        <v/>
      </c>
      <c r="D325" s="210" t="str">
        <f>IFERROR(VLOOKUP($B325,'Institution Evaluation'!$A$55:$F$346,3,0),IFERROR(VLOOKUP($B325,'Privacy Analyst Evaluation'!$A$46:$F$120,3,0),""))&amp;""</f>
        <v/>
      </c>
      <c r="E325" s="210" t="str">
        <f>IFERROR(VLOOKUP($B325,'Institution Evaluation'!$A$55:$F$346,4,0),IFERROR(VLOOKUP($B325,'Privacy Analyst Evaluation'!$A$46:$F$120,4,0),""))&amp;""</f>
        <v/>
      </c>
      <c r="F325" s="210" t="str">
        <f>IFERROR(VLOOKUP($B325,'Institution Evaluation'!$A$55:$F$346,6,0),IFERROR(VLOOKUP($B325,'Privacy Analyst Evaluation'!$A$46:$F$120,6,0),""))&amp;""</f>
        <v/>
      </c>
      <c r="G325" s="211"/>
      <c r="H325" s="210" t="str">
        <f>IFERROR(IF($H324+1&gt;'(backend scoring)'!$Q$335,"",$H324+1),"")</f>
        <v/>
      </c>
      <c r="I325" s="210" t="str">
        <f>_xlfn.XLOOKUP($H325,'(backend scoring)'!$S$2:$S$333,'(backend scoring)'!$A$2:$A$333,"")</f>
        <v/>
      </c>
      <c r="J325" s="210" t="str">
        <f>IFERROR(VLOOKUP($I325,'Institution Evaluation'!$A$55:$F$346,2,0),IFERROR(VLOOKUP($I325,'Privacy Analyst Evaluation'!$A$46:$F$120,2,0),""))</f>
        <v/>
      </c>
      <c r="K325" s="210" t="str">
        <f>IFERROR(VLOOKUP($I325,'Institution Evaluation'!$A$55:$F$346,3,0),IFERROR(VLOOKUP($I325,'Privacy Analyst Evaluation'!$A$46:$F$120,3,0),""))&amp;""</f>
        <v/>
      </c>
      <c r="L325" s="210" t="str">
        <f>IFERROR(VLOOKUP($I325,'Institution Evaluation'!$A$55:$F$346,4,0),IFERROR(VLOOKUP($I325,'Privacy Analyst Evaluation'!$A$46:$F$120,4,0),""))&amp;""</f>
        <v/>
      </c>
      <c r="M325" s="210"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2">
      <c r="A326" s="210" t="str">
        <f>IFERROR(IF($A325+1&gt;'(backend scoring)'!$T$335,"",$A325+1),"")</f>
        <v/>
      </c>
      <c r="B326" s="210" t="str">
        <f>_xlfn.XLOOKUP($A326,'(backend scoring)'!$V$2:$V$333,'(backend scoring)'!$A$2:$A$333,"")</f>
        <v/>
      </c>
      <c r="C326" s="210" t="str">
        <f>IFERROR(VLOOKUP($B326,'Institution Evaluation'!$A$55:$F$346,2,0),IFERROR(VLOOKUP($B326,'Privacy Analyst Evaluation'!$A$46:$F$120,2,0),""))&amp;""</f>
        <v/>
      </c>
      <c r="D326" s="210" t="str">
        <f>IFERROR(VLOOKUP($B326,'Institution Evaluation'!$A$55:$F$346,3,0),IFERROR(VLOOKUP($B326,'Privacy Analyst Evaluation'!$A$46:$F$120,3,0),""))&amp;""</f>
        <v/>
      </c>
      <c r="E326" s="210" t="str">
        <f>IFERROR(VLOOKUP($B326,'Institution Evaluation'!$A$55:$F$346,4,0),IFERROR(VLOOKUP($B326,'Privacy Analyst Evaluation'!$A$46:$F$120,4,0),""))&amp;""</f>
        <v/>
      </c>
      <c r="F326" s="210" t="str">
        <f>IFERROR(VLOOKUP($B326,'Institution Evaluation'!$A$55:$F$346,6,0),IFERROR(VLOOKUP($B326,'Privacy Analyst Evaluation'!$A$46:$F$120,6,0),""))&amp;""</f>
        <v/>
      </c>
      <c r="G326" s="211"/>
      <c r="H326" s="210" t="str">
        <f>IFERROR(IF($H325+1&gt;'(backend scoring)'!$Q$335,"",$H325+1),"")</f>
        <v/>
      </c>
      <c r="I326" s="210" t="str">
        <f>_xlfn.XLOOKUP($H326,'(backend scoring)'!$S$2:$S$333,'(backend scoring)'!$A$2:$A$333,"")</f>
        <v/>
      </c>
      <c r="J326" s="210" t="str">
        <f>IFERROR(VLOOKUP($I326,'Institution Evaluation'!$A$55:$F$346,2,0),IFERROR(VLOOKUP($I326,'Privacy Analyst Evaluation'!$A$46:$F$120,2,0),""))</f>
        <v/>
      </c>
      <c r="K326" s="210" t="str">
        <f>IFERROR(VLOOKUP($I326,'Institution Evaluation'!$A$55:$F$346,3,0),IFERROR(VLOOKUP($I326,'Privacy Analyst Evaluation'!$A$46:$F$120,3,0),""))&amp;""</f>
        <v/>
      </c>
      <c r="L326" s="210" t="str">
        <f>IFERROR(VLOOKUP($I326,'Institution Evaluation'!$A$55:$F$346,4,0),IFERROR(VLOOKUP($I326,'Privacy Analyst Evaluation'!$A$46:$F$120,4,0),""))&amp;""</f>
        <v/>
      </c>
      <c r="M326" s="210"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2">
      <c r="A327" s="210" t="str">
        <f>IFERROR(IF($A326+1&gt;'(backend scoring)'!$T$335,"",$A326+1),"")</f>
        <v/>
      </c>
      <c r="B327" s="210" t="str">
        <f>_xlfn.XLOOKUP($A327,'(backend scoring)'!$V$2:$V$333,'(backend scoring)'!$A$2:$A$333,"")</f>
        <v/>
      </c>
      <c r="C327" s="210" t="str">
        <f>IFERROR(VLOOKUP($B327,'Institution Evaluation'!$A$55:$F$346,2,0),IFERROR(VLOOKUP($B327,'Privacy Analyst Evaluation'!$A$46:$F$120,2,0),""))&amp;""</f>
        <v/>
      </c>
      <c r="D327" s="210" t="str">
        <f>IFERROR(VLOOKUP($B327,'Institution Evaluation'!$A$55:$F$346,3,0),IFERROR(VLOOKUP($B327,'Privacy Analyst Evaluation'!$A$46:$F$120,3,0),""))&amp;""</f>
        <v/>
      </c>
      <c r="E327" s="210" t="str">
        <f>IFERROR(VLOOKUP($B327,'Institution Evaluation'!$A$55:$F$346,4,0),IFERROR(VLOOKUP($B327,'Privacy Analyst Evaluation'!$A$46:$F$120,4,0),""))&amp;""</f>
        <v/>
      </c>
      <c r="F327" s="210" t="str">
        <f>IFERROR(VLOOKUP($B327,'Institution Evaluation'!$A$55:$F$346,6,0),IFERROR(VLOOKUP($B327,'Privacy Analyst Evaluation'!$A$46:$F$120,6,0),""))&amp;""</f>
        <v/>
      </c>
      <c r="G327" s="211"/>
      <c r="H327" s="210" t="str">
        <f>IFERROR(IF($H326+1&gt;'(backend scoring)'!$Q$335,"",$H326+1),"")</f>
        <v/>
      </c>
      <c r="I327" s="210" t="str">
        <f>_xlfn.XLOOKUP($H327,'(backend scoring)'!$S$2:$S$333,'(backend scoring)'!$A$2:$A$333,"")</f>
        <v/>
      </c>
      <c r="J327" s="210" t="str">
        <f>IFERROR(VLOOKUP($I327,'Institution Evaluation'!$A$55:$F$346,2,0),IFERROR(VLOOKUP($I327,'Privacy Analyst Evaluation'!$A$46:$F$120,2,0),""))</f>
        <v/>
      </c>
      <c r="K327" s="210" t="str">
        <f>IFERROR(VLOOKUP($I327,'Institution Evaluation'!$A$55:$F$346,3,0),IFERROR(VLOOKUP($I327,'Privacy Analyst Evaluation'!$A$46:$F$120,3,0),""))&amp;""</f>
        <v/>
      </c>
      <c r="L327" s="210" t="str">
        <f>IFERROR(VLOOKUP($I327,'Institution Evaluation'!$A$55:$F$346,4,0),IFERROR(VLOOKUP($I327,'Privacy Analyst Evaluation'!$A$46:$F$120,4,0),""))&amp;""</f>
        <v/>
      </c>
      <c r="M327" s="210"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2">
      <c r="A328" s="210" t="str">
        <f>IFERROR(IF($A327+1&gt;'(backend scoring)'!$T$335,"",$A327+1),"")</f>
        <v/>
      </c>
      <c r="B328" s="210" t="str">
        <f>_xlfn.XLOOKUP($A328,'(backend scoring)'!$V$2:$V$333,'(backend scoring)'!$A$2:$A$333,"")</f>
        <v/>
      </c>
      <c r="C328" s="210" t="str">
        <f>IFERROR(VLOOKUP($B328,'Institution Evaluation'!$A$55:$F$346,2,0),IFERROR(VLOOKUP($B328,'Privacy Analyst Evaluation'!$A$46:$F$120,2,0),""))&amp;""</f>
        <v/>
      </c>
      <c r="D328" s="210" t="str">
        <f>IFERROR(VLOOKUP($B328,'Institution Evaluation'!$A$55:$F$346,3,0),IFERROR(VLOOKUP($B328,'Privacy Analyst Evaluation'!$A$46:$F$120,3,0),""))&amp;""</f>
        <v/>
      </c>
      <c r="E328" s="210" t="str">
        <f>IFERROR(VLOOKUP($B328,'Institution Evaluation'!$A$55:$F$346,4,0),IFERROR(VLOOKUP($B328,'Privacy Analyst Evaluation'!$A$46:$F$120,4,0),""))&amp;""</f>
        <v/>
      </c>
      <c r="F328" s="210" t="str">
        <f>IFERROR(VLOOKUP($B328,'Institution Evaluation'!$A$55:$F$346,6,0),IFERROR(VLOOKUP($B328,'Privacy Analyst Evaluation'!$A$46:$F$120,6,0),""))&amp;""</f>
        <v/>
      </c>
      <c r="G328" s="211"/>
      <c r="H328" s="210" t="str">
        <f>IFERROR(IF($H327+1&gt;'(backend scoring)'!$Q$335,"",$H327+1),"")</f>
        <v/>
      </c>
      <c r="I328" s="210" t="str">
        <f>_xlfn.XLOOKUP($H328,'(backend scoring)'!$S$2:$S$333,'(backend scoring)'!$A$2:$A$333,"")</f>
        <v/>
      </c>
      <c r="J328" s="210" t="str">
        <f>IFERROR(VLOOKUP($I328,'Institution Evaluation'!$A$55:$F$346,2,0),IFERROR(VLOOKUP($I328,'Privacy Analyst Evaluation'!$A$46:$F$120,2,0),""))</f>
        <v/>
      </c>
      <c r="K328" s="210" t="str">
        <f>IFERROR(VLOOKUP($I328,'Institution Evaluation'!$A$55:$F$346,3,0),IFERROR(VLOOKUP($I328,'Privacy Analyst Evaluation'!$A$46:$F$120,3,0),""))&amp;""</f>
        <v/>
      </c>
      <c r="L328" s="210" t="str">
        <f>IFERROR(VLOOKUP($I328,'Institution Evaluation'!$A$55:$F$346,4,0),IFERROR(VLOOKUP($I328,'Privacy Analyst Evaluation'!$A$46:$F$120,4,0),""))&amp;""</f>
        <v/>
      </c>
      <c r="M328" s="210"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2">
      <c r="A329" s="210" t="str">
        <f>IFERROR(IF($A328+1&gt;'(backend scoring)'!$T$335,"",$A328+1),"")</f>
        <v/>
      </c>
      <c r="B329" s="210" t="str">
        <f>_xlfn.XLOOKUP($A329,'(backend scoring)'!$V$2:$V$333,'(backend scoring)'!$A$2:$A$333,"")</f>
        <v/>
      </c>
      <c r="C329" s="210" t="str">
        <f>IFERROR(VLOOKUP($B329,'Institution Evaluation'!$A$55:$F$346,2,0),IFERROR(VLOOKUP($B329,'Privacy Analyst Evaluation'!$A$46:$F$120,2,0),""))&amp;""</f>
        <v/>
      </c>
      <c r="D329" s="210" t="str">
        <f>IFERROR(VLOOKUP($B329,'Institution Evaluation'!$A$55:$F$346,3,0),IFERROR(VLOOKUP($B329,'Privacy Analyst Evaluation'!$A$46:$F$120,3,0),""))&amp;""</f>
        <v/>
      </c>
      <c r="E329" s="210" t="str">
        <f>IFERROR(VLOOKUP($B329,'Institution Evaluation'!$A$55:$F$346,4,0),IFERROR(VLOOKUP($B329,'Privacy Analyst Evaluation'!$A$46:$F$120,4,0),""))&amp;""</f>
        <v/>
      </c>
      <c r="F329" s="210" t="str">
        <f>IFERROR(VLOOKUP($B329,'Institution Evaluation'!$A$55:$F$346,6,0),IFERROR(VLOOKUP($B329,'Privacy Analyst Evaluation'!$A$46:$F$120,6,0),""))&amp;""</f>
        <v/>
      </c>
      <c r="G329" s="211"/>
      <c r="H329" s="210" t="str">
        <f>IFERROR(IF($H328+1&gt;'(backend scoring)'!$Q$335,"",$H328+1),"")</f>
        <v/>
      </c>
      <c r="I329" s="210" t="str">
        <f>_xlfn.XLOOKUP($H329,'(backend scoring)'!$S$2:$S$333,'(backend scoring)'!$A$2:$A$333,"")</f>
        <v/>
      </c>
      <c r="J329" s="210" t="str">
        <f>IFERROR(VLOOKUP($I329,'Institution Evaluation'!$A$55:$F$346,2,0),IFERROR(VLOOKUP($I329,'Privacy Analyst Evaluation'!$A$46:$F$120,2,0),""))</f>
        <v/>
      </c>
      <c r="K329" s="210" t="str">
        <f>IFERROR(VLOOKUP($I329,'Institution Evaluation'!$A$55:$F$346,3,0),IFERROR(VLOOKUP($I329,'Privacy Analyst Evaluation'!$A$46:$F$120,3,0),""))&amp;""</f>
        <v/>
      </c>
      <c r="L329" s="210" t="str">
        <f>IFERROR(VLOOKUP($I329,'Institution Evaluation'!$A$55:$F$346,4,0),IFERROR(VLOOKUP($I329,'Privacy Analyst Evaluation'!$A$46:$F$120,4,0),""))&amp;""</f>
        <v/>
      </c>
      <c r="M329" s="210"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2">
      <c r="A330" s="210" t="str">
        <f>IFERROR(IF($A329+1&gt;'(backend scoring)'!$T$335,"",$A329+1),"")</f>
        <v/>
      </c>
      <c r="B330" s="210" t="str">
        <f>_xlfn.XLOOKUP($A330,'(backend scoring)'!$V$2:$V$333,'(backend scoring)'!$A$2:$A$333,"")</f>
        <v/>
      </c>
      <c r="C330" s="210" t="str">
        <f>IFERROR(VLOOKUP($B330,'Institution Evaluation'!$A$55:$F$346,2,0),IFERROR(VLOOKUP($B330,'Privacy Analyst Evaluation'!$A$46:$F$120,2,0),""))&amp;""</f>
        <v/>
      </c>
      <c r="D330" s="210" t="str">
        <f>IFERROR(VLOOKUP($B330,'Institution Evaluation'!$A$55:$F$346,3,0),IFERROR(VLOOKUP($B330,'Privacy Analyst Evaluation'!$A$46:$F$120,3,0),""))&amp;""</f>
        <v/>
      </c>
      <c r="E330" s="210" t="str">
        <f>IFERROR(VLOOKUP($B330,'Institution Evaluation'!$A$55:$F$346,4,0),IFERROR(VLOOKUP($B330,'Privacy Analyst Evaluation'!$A$46:$F$120,4,0),""))&amp;""</f>
        <v/>
      </c>
      <c r="F330" s="210" t="str">
        <f>IFERROR(VLOOKUP($B330,'Institution Evaluation'!$A$55:$F$346,6,0),IFERROR(VLOOKUP($B330,'Privacy Analyst Evaluation'!$A$46:$F$120,6,0),""))&amp;""</f>
        <v/>
      </c>
      <c r="G330" s="211"/>
      <c r="H330" s="210" t="str">
        <f>IFERROR(IF($H329+1&gt;'(backend scoring)'!$Q$335,"",$H329+1),"")</f>
        <v/>
      </c>
      <c r="I330" s="210" t="str">
        <f>_xlfn.XLOOKUP($H330,'(backend scoring)'!$S$2:$S$333,'(backend scoring)'!$A$2:$A$333,"")</f>
        <v/>
      </c>
      <c r="J330" s="210" t="str">
        <f>IFERROR(VLOOKUP($I330,'Institution Evaluation'!$A$55:$F$346,2,0),IFERROR(VLOOKUP($I330,'Privacy Analyst Evaluation'!$A$46:$F$120,2,0),""))</f>
        <v/>
      </c>
      <c r="K330" s="210" t="str">
        <f>IFERROR(VLOOKUP($I330,'Institution Evaluation'!$A$55:$F$346,3,0),IFERROR(VLOOKUP($I330,'Privacy Analyst Evaluation'!$A$46:$F$120,3,0),""))&amp;""</f>
        <v/>
      </c>
      <c r="L330" s="210" t="str">
        <f>IFERROR(VLOOKUP($I330,'Institution Evaluation'!$A$55:$F$346,4,0),IFERROR(VLOOKUP($I330,'Privacy Analyst Evaluation'!$A$46:$F$120,4,0),""))&amp;""</f>
        <v/>
      </c>
      <c r="M330" s="210"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2">
      <c r="A331" s="210" t="str">
        <f>IFERROR(IF($A330+1&gt;'(backend scoring)'!$T$335,"",$A330+1),"")</f>
        <v/>
      </c>
      <c r="B331" s="210" t="str">
        <f>_xlfn.XLOOKUP($A331,'(backend scoring)'!$V$2:$V$333,'(backend scoring)'!$A$2:$A$333,"")</f>
        <v/>
      </c>
      <c r="C331" s="210" t="str">
        <f>IFERROR(VLOOKUP($B331,'Institution Evaluation'!$A$55:$F$346,2,0),IFERROR(VLOOKUP($B331,'Privacy Analyst Evaluation'!$A$46:$F$120,2,0),""))&amp;""</f>
        <v/>
      </c>
      <c r="D331" s="210" t="str">
        <f>IFERROR(VLOOKUP($B331,'Institution Evaluation'!$A$55:$F$346,3,0),IFERROR(VLOOKUP($B331,'Privacy Analyst Evaluation'!$A$46:$F$120,3,0),""))&amp;""</f>
        <v/>
      </c>
      <c r="E331" s="210" t="str">
        <f>IFERROR(VLOOKUP($B331,'Institution Evaluation'!$A$55:$F$346,4,0),IFERROR(VLOOKUP($B331,'Privacy Analyst Evaluation'!$A$46:$F$120,4,0),""))&amp;""</f>
        <v/>
      </c>
      <c r="F331" s="210" t="str">
        <f>IFERROR(VLOOKUP($B331,'Institution Evaluation'!$A$55:$F$346,6,0),IFERROR(VLOOKUP($B331,'Privacy Analyst Evaluation'!$A$46:$F$120,6,0),""))&amp;""</f>
        <v/>
      </c>
      <c r="G331" s="211"/>
      <c r="H331" s="210" t="str">
        <f>IFERROR(IF($H330+1&gt;'(backend scoring)'!$Q$335,"",$H330+1),"")</f>
        <v/>
      </c>
      <c r="I331" s="210" t="str">
        <f>_xlfn.XLOOKUP($H331,'(backend scoring)'!$S$2:$S$333,'(backend scoring)'!$A$2:$A$333,"")</f>
        <v/>
      </c>
      <c r="J331" s="210" t="str">
        <f>IFERROR(VLOOKUP($I331,'Institution Evaluation'!$A$55:$F$346,2,0),IFERROR(VLOOKUP($I331,'Privacy Analyst Evaluation'!$A$46:$F$120,2,0),""))</f>
        <v/>
      </c>
      <c r="K331" s="210" t="str">
        <f>IFERROR(VLOOKUP($I331,'Institution Evaluation'!$A$55:$F$346,3,0),IFERROR(VLOOKUP($I331,'Privacy Analyst Evaluation'!$A$46:$F$120,3,0),""))&amp;""</f>
        <v/>
      </c>
      <c r="L331" s="210" t="str">
        <f>IFERROR(VLOOKUP($I331,'Institution Evaluation'!$A$55:$F$346,4,0),IFERROR(VLOOKUP($I331,'Privacy Analyst Evaluation'!$A$46:$F$120,4,0),""))&amp;""</f>
        <v/>
      </c>
      <c r="M331" s="210"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2">
      <c r="A332" s="210" t="str">
        <f>IFERROR(IF($A331+1&gt;'(backend scoring)'!$T$335,"",$A331+1),"")</f>
        <v/>
      </c>
      <c r="B332" s="210" t="str">
        <f>_xlfn.XLOOKUP($A332,'(backend scoring)'!$V$2:$V$333,'(backend scoring)'!$A$2:$A$333,"")</f>
        <v/>
      </c>
      <c r="C332" s="210" t="str">
        <f>IFERROR(VLOOKUP($B332,'Institution Evaluation'!$A$55:$F$346,2,0),IFERROR(VLOOKUP($B332,'Privacy Analyst Evaluation'!$A$46:$F$120,2,0),""))&amp;""</f>
        <v/>
      </c>
      <c r="D332" s="210" t="str">
        <f>IFERROR(VLOOKUP($B332,'Institution Evaluation'!$A$55:$F$346,3,0),IFERROR(VLOOKUP($B332,'Privacy Analyst Evaluation'!$A$46:$F$120,3,0),""))&amp;""</f>
        <v/>
      </c>
      <c r="E332" s="210" t="str">
        <f>IFERROR(VLOOKUP($B332,'Institution Evaluation'!$A$55:$F$346,4,0),IFERROR(VLOOKUP($B332,'Privacy Analyst Evaluation'!$A$46:$F$120,4,0),""))&amp;""</f>
        <v/>
      </c>
      <c r="F332" s="210" t="str">
        <f>IFERROR(VLOOKUP($B332,'Institution Evaluation'!$A$55:$F$346,6,0),IFERROR(VLOOKUP($B332,'Privacy Analyst Evaluation'!$A$46:$F$120,6,0),""))&amp;""</f>
        <v/>
      </c>
      <c r="G332" s="211"/>
      <c r="H332" s="210" t="str">
        <f>IFERROR(IF($H331+1&gt;'(backend scoring)'!$Q$335,"",$H331+1),"")</f>
        <v/>
      </c>
      <c r="I332" s="210" t="str">
        <f>_xlfn.XLOOKUP($H332,'(backend scoring)'!$S$2:$S$333,'(backend scoring)'!$A$2:$A$333,"")</f>
        <v/>
      </c>
      <c r="J332" s="210" t="str">
        <f>IFERROR(VLOOKUP($I332,'Institution Evaluation'!$A$55:$F$346,2,0),IFERROR(VLOOKUP($I332,'Privacy Analyst Evaluation'!$A$46:$F$120,2,0),""))</f>
        <v/>
      </c>
      <c r="K332" s="210" t="str">
        <f>IFERROR(VLOOKUP($I332,'Institution Evaluation'!$A$55:$F$346,3,0),IFERROR(VLOOKUP($I332,'Privacy Analyst Evaluation'!$A$46:$F$120,3,0),""))&amp;""</f>
        <v/>
      </c>
      <c r="L332" s="210" t="str">
        <f>IFERROR(VLOOKUP($I332,'Institution Evaluation'!$A$55:$F$346,4,0),IFERROR(VLOOKUP($I332,'Privacy Analyst Evaluation'!$A$46:$F$120,4,0),""))&amp;""</f>
        <v/>
      </c>
      <c r="M332" s="210"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2">
      <c r="A333" s="210" t="str">
        <f>IFERROR(IF($A332+1&gt;'(backend scoring)'!$T$335,"",$A332+1),"")</f>
        <v/>
      </c>
      <c r="B333" s="210" t="str">
        <f>_xlfn.XLOOKUP($A333,'(backend scoring)'!$V$2:$V$333,'(backend scoring)'!$A$2:$A$333,"")</f>
        <v/>
      </c>
      <c r="C333" s="210" t="str">
        <f>IFERROR(VLOOKUP($B333,'Institution Evaluation'!$A$55:$F$346,2,0),IFERROR(VLOOKUP($B333,'Privacy Analyst Evaluation'!$A$46:$F$120,2,0),""))&amp;""</f>
        <v/>
      </c>
      <c r="D333" s="210" t="str">
        <f>IFERROR(VLOOKUP($B333,'Institution Evaluation'!$A$55:$F$346,3,0),IFERROR(VLOOKUP($B333,'Privacy Analyst Evaluation'!$A$46:$F$120,3,0),""))&amp;""</f>
        <v/>
      </c>
      <c r="E333" s="210" t="str">
        <f>IFERROR(VLOOKUP($B333,'Institution Evaluation'!$A$55:$F$346,4,0),IFERROR(VLOOKUP($B333,'Privacy Analyst Evaluation'!$A$46:$F$120,4,0),""))&amp;""</f>
        <v/>
      </c>
      <c r="F333" s="210" t="str">
        <f>IFERROR(VLOOKUP($B333,'Institution Evaluation'!$A$55:$F$346,6,0),IFERROR(VLOOKUP($B333,'Privacy Analyst Evaluation'!$A$46:$F$120,6,0),""))&amp;""</f>
        <v/>
      </c>
      <c r="G333" s="211"/>
      <c r="H333" s="210" t="str">
        <f>IFERROR(IF($H332+1&gt;'(backend scoring)'!$Q$335,"",$H332+1),"")</f>
        <v/>
      </c>
      <c r="I333" s="210" t="str">
        <f>_xlfn.XLOOKUP($H333,'(backend scoring)'!$S$2:$S$333,'(backend scoring)'!$A$2:$A$333,"")</f>
        <v/>
      </c>
      <c r="J333" s="210" t="str">
        <f>IFERROR(VLOOKUP($I333,'Institution Evaluation'!$A$55:$F$346,2,0),IFERROR(VLOOKUP($I333,'Privacy Analyst Evaluation'!$A$46:$F$120,2,0),""))</f>
        <v/>
      </c>
      <c r="K333" s="210" t="str">
        <f>IFERROR(VLOOKUP($I333,'Institution Evaluation'!$A$55:$F$346,3,0),IFERROR(VLOOKUP($I333,'Privacy Analyst Evaluation'!$A$46:$F$120,3,0),""))&amp;""</f>
        <v/>
      </c>
      <c r="L333" s="210" t="str">
        <f>IFERROR(VLOOKUP($I333,'Institution Evaluation'!$A$55:$F$346,4,0),IFERROR(VLOOKUP($I333,'Privacy Analyst Evaluation'!$A$46:$F$120,4,0),""))&amp;""</f>
        <v/>
      </c>
      <c r="M333" s="210"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2">
      <c r="A334" s="210" t="str">
        <f>IFERROR(IF($A333+1&gt;'(backend scoring)'!$T$335,"",$A333+1),"")</f>
        <v/>
      </c>
      <c r="B334" s="210" t="str">
        <f>_xlfn.XLOOKUP($A334,'(backend scoring)'!$V$2:$V$333,'(backend scoring)'!$A$2:$A$333,"")</f>
        <v/>
      </c>
      <c r="C334" s="210" t="str">
        <f>IFERROR(VLOOKUP($B334,'Institution Evaluation'!$A$55:$F$346,2,0),IFERROR(VLOOKUP($B334,'Privacy Analyst Evaluation'!$A$46:$F$120,2,0),""))&amp;""</f>
        <v/>
      </c>
      <c r="D334" s="210" t="str">
        <f>IFERROR(VLOOKUP($B334,'Institution Evaluation'!$A$55:$F$346,3,0),IFERROR(VLOOKUP($B334,'Privacy Analyst Evaluation'!$A$46:$F$120,3,0),""))&amp;""</f>
        <v/>
      </c>
      <c r="E334" s="210" t="str">
        <f>IFERROR(VLOOKUP($B334,'Institution Evaluation'!$A$55:$F$346,4,0),IFERROR(VLOOKUP($B334,'Privacy Analyst Evaluation'!$A$46:$F$120,4,0),""))&amp;""</f>
        <v/>
      </c>
      <c r="F334" s="210" t="str">
        <f>IFERROR(VLOOKUP($B334,'Institution Evaluation'!$A$55:$F$346,6,0),IFERROR(VLOOKUP($B334,'Privacy Analyst Evaluation'!$A$46:$F$120,6,0),""))&amp;""</f>
        <v/>
      </c>
      <c r="G334" s="211"/>
      <c r="H334" s="210" t="str">
        <f>IFERROR(IF($H333+1&gt;'(backend scoring)'!$Q$335,"",$H333+1),"")</f>
        <v/>
      </c>
      <c r="I334" s="210" t="str">
        <f>_xlfn.XLOOKUP($H334,'(backend scoring)'!$S$2:$S$333,'(backend scoring)'!$A$2:$A$333,"")</f>
        <v/>
      </c>
      <c r="J334" s="210" t="str">
        <f>IFERROR(VLOOKUP($I334,'Institution Evaluation'!$A$55:$F$346,2,0),IFERROR(VLOOKUP($I334,'Privacy Analyst Evaluation'!$A$46:$F$120,2,0),""))</f>
        <v/>
      </c>
      <c r="K334" s="210" t="str">
        <f>IFERROR(VLOOKUP($I334,'Institution Evaluation'!$A$55:$F$346,3,0),IFERROR(VLOOKUP($I334,'Privacy Analyst Evaluation'!$A$46:$F$120,3,0),""))&amp;""</f>
        <v/>
      </c>
      <c r="L334" s="210" t="str">
        <f>IFERROR(VLOOKUP($I334,'Institution Evaluation'!$A$55:$F$346,4,0),IFERROR(VLOOKUP($I334,'Privacy Analyst Evaluation'!$A$46:$F$120,4,0),""))&amp;""</f>
        <v/>
      </c>
      <c r="M334" s="210"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2">
      <c r="A335" s="210" t="str">
        <f>IFERROR(IF($A334+1&gt;'(backend scoring)'!$T$335,"",$A334+1),"")</f>
        <v/>
      </c>
      <c r="B335" s="210" t="str">
        <f>_xlfn.XLOOKUP($A335,'(backend scoring)'!$V$2:$V$333,'(backend scoring)'!$A$2:$A$333,"")</f>
        <v/>
      </c>
      <c r="C335" s="210" t="str">
        <f>IFERROR(VLOOKUP($B335,'Institution Evaluation'!$A$55:$F$346,2,0),IFERROR(VLOOKUP($B335,'Privacy Analyst Evaluation'!$A$46:$F$120,2,0),""))&amp;""</f>
        <v/>
      </c>
      <c r="D335" s="210" t="str">
        <f>IFERROR(VLOOKUP($B335,'Institution Evaluation'!$A$55:$F$346,3,0),IFERROR(VLOOKUP($B335,'Privacy Analyst Evaluation'!$A$46:$F$120,3,0),""))&amp;""</f>
        <v/>
      </c>
      <c r="E335" s="210" t="str">
        <f>IFERROR(VLOOKUP($B335,'Institution Evaluation'!$A$55:$F$346,4,0),IFERROR(VLOOKUP($B335,'Privacy Analyst Evaluation'!$A$46:$F$120,4,0),""))&amp;""</f>
        <v/>
      </c>
      <c r="F335" s="210" t="str">
        <f>IFERROR(VLOOKUP($B335,'Institution Evaluation'!$A$55:$F$346,6,0),IFERROR(VLOOKUP($B335,'Privacy Analyst Evaluation'!$A$46:$F$120,6,0),""))&amp;""</f>
        <v/>
      </c>
      <c r="G335" s="211"/>
      <c r="H335" s="210" t="str">
        <f>IFERROR(IF($H334+1&gt;'(backend scoring)'!$Q$335,"",$H334+1),"")</f>
        <v/>
      </c>
      <c r="I335" s="210" t="str">
        <f>_xlfn.XLOOKUP($H335,'(backend scoring)'!$S$2:$S$333,'(backend scoring)'!$A$2:$A$333,"")</f>
        <v/>
      </c>
      <c r="J335" s="210" t="str">
        <f>IFERROR(VLOOKUP($I335,'Institution Evaluation'!$A$55:$F$346,2,0),IFERROR(VLOOKUP($I335,'Privacy Analyst Evaluation'!$A$46:$F$120,2,0),""))</f>
        <v/>
      </c>
      <c r="K335" s="210" t="str">
        <f>IFERROR(VLOOKUP($I335,'Institution Evaluation'!$A$55:$F$346,3,0),IFERROR(VLOOKUP($I335,'Privacy Analyst Evaluation'!$A$46:$F$120,3,0),""))&amp;""</f>
        <v/>
      </c>
      <c r="L335" s="210" t="str">
        <f>IFERROR(VLOOKUP($I335,'Institution Evaluation'!$A$55:$F$346,4,0),IFERROR(VLOOKUP($I335,'Privacy Analyst Evaluation'!$A$46:$F$120,4,0),""))&amp;""</f>
        <v/>
      </c>
      <c r="M335" s="210"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2">
      <c r="A336" s="210" t="str">
        <f>IFERROR(IF($A335+1&gt;'(backend scoring)'!$T$335,"",$A335+1),"")</f>
        <v/>
      </c>
      <c r="B336" s="210" t="str">
        <f>_xlfn.XLOOKUP($A336,'(backend scoring)'!$V$2:$V$333,'(backend scoring)'!$A$2:$A$333,"")</f>
        <v/>
      </c>
      <c r="C336" s="210" t="str">
        <f>IFERROR(VLOOKUP($B336,'Institution Evaluation'!$A$55:$F$346,2,0),IFERROR(VLOOKUP($B336,'Privacy Analyst Evaluation'!$A$46:$F$120,2,0),""))&amp;""</f>
        <v/>
      </c>
      <c r="D336" s="210" t="str">
        <f>IFERROR(VLOOKUP($B336,'Institution Evaluation'!$A$55:$F$346,3,0),IFERROR(VLOOKUP($B336,'Privacy Analyst Evaluation'!$A$46:$F$120,3,0),""))&amp;""</f>
        <v/>
      </c>
      <c r="E336" s="210" t="str">
        <f>IFERROR(VLOOKUP($B336,'Institution Evaluation'!$A$55:$F$346,4,0),IFERROR(VLOOKUP($B336,'Privacy Analyst Evaluation'!$A$46:$F$120,4,0),""))&amp;""</f>
        <v/>
      </c>
      <c r="F336" s="210" t="str">
        <f>IFERROR(VLOOKUP($B336,'Institution Evaluation'!$A$55:$F$346,6,0),IFERROR(VLOOKUP($B336,'Privacy Analyst Evaluation'!$A$46:$F$120,6,0),""))&amp;""</f>
        <v/>
      </c>
      <c r="G336" s="211"/>
      <c r="H336" s="210" t="str">
        <f>IFERROR(IF($H335+1&gt;'(backend scoring)'!$Q$335,"",$H335+1),"")</f>
        <v/>
      </c>
      <c r="I336" s="210" t="str">
        <f>_xlfn.XLOOKUP($H336,'(backend scoring)'!$S$2:$S$333,'(backend scoring)'!$A$2:$A$333,"")</f>
        <v/>
      </c>
      <c r="J336" s="210" t="str">
        <f>IFERROR(VLOOKUP($I336,'Institution Evaluation'!$A$55:$F$346,2,0),IFERROR(VLOOKUP($I336,'Privacy Analyst Evaluation'!$A$46:$F$120,2,0),""))</f>
        <v/>
      </c>
      <c r="K336" s="210" t="str">
        <f>IFERROR(VLOOKUP($I336,'Institution Evaluation'!$A$55:$F$346,3,0),IFERROR(VLOOKUP($I336,'Privacy Analyst Evaluation'!$A$46:$F$120,3,0),""))&amp;""</f>
        <v/>
      </c>
      <c r="L336" s="210" t="str">
        <f>IFERROR(VLOOKUP($I336,'Institution Evaluation'!$A$55:$F$346,4,0),IFERROR(VLOOKUP($I336,'Privacy Analyst Evaluation'!$A$46:$F$120,4,0),""))&amp;""</f>
        <v/>
      </c>
      <c r="M336" s="210"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2">
      <c r="A337" s="210" t="str">
        <f>IFERROR(IF($A336+1&gt;'(backend scoring)'!$T$335,"",$A336+1),"")</f>
        <v/>
      </c>
      <c r="B337" s="210" t="str">
        <f>_xlfn.XLOOKUP($A337,'(backend scoring)'!$V$2:$V$333,'(backend scoring)'!$A$2:$A$333,"")</f>
        <v/>
      </c>
      <c r="C337" s="210" t="str">
        <f>IFERROR(VLOOKUP($B337,'Institution Evaluation'!$A$55:$F$346,2,0),IFERROR(VLOOKUP($B337,'Privacy Analyst Evaluation'!$A$46:$F$120,2,0),""))&amp;""</f>
        <v/>
      </c>
      <c r="D337" s="210" t="str">
        <f>IFERROR(VLOOKUP($B337,'Institution Evaluation'!$A$55:$F$346,3,0),IFERROR(VLOOKUP($B337,'Privacy Analyst Evaluation'!$A$46:$F$120,3,0),""))&amp;""</f>
        <v/>
      </c>
      <c r="E337" s="210" t="str">
        <f>IFERROR(VLOOKUP($B337,'Institution Evaluation'!$A$55:$F$346,4,0),IFERROR(VLOOKUP($B337,'Privacy Analyst Evaluation'!$A$46:$F$120,4,0),""))&amp;""</f>
        <v/>
      </c>
      <c r="F337" s="210" t="str">
        <f>IFERROR(VLOOKUP($B337,'Institution Evaluation'!$A$55:$F$346,6,0),IFERROR(VLOOKUP($B337,'Privacy Analyst Evaluation'!$A$46:$F$120,6,0),""))&amp;""</f>
        <v/>
      </c>
      <c r="G337" s="211"/>
      <c r="H337" s="210" t="str">
        <f>IFERROR(IF($H336+1&gt;'(backend scoring)'!$Q$335,"",$H336+1),"")</f>
        <v/>
      </c>
      <c r="I337" s="210" t="str">
        <f>_xlfn.XLOOKUP($H337,'(backend scoring)'!$S$2:$S$333,'(backend scoring)'!$A$2:$A$333,"")</f>
        <v/>
      </c>
      <c r="J337" s="210" t="str">
        <f>IFERROR(VLOOKUP($I337,'Institution Evaluation'!$A$55:$F$346,2,0),IFERROR(VLOOKUP($I337,'Privacy Analyst Evaluation'!$A$46:$F$120,2,0),""))</f>
        <v/>
      </c>
      <c r="K337" s="210" t="str">
        <f>IFERROR(VLOOKUP($I337,'Institution Evaluation'!$A$55:$F$346,3,0),IFERROR(VLOOKUP($I337,'Privacy Analyst Evaluation'!$A$46:$F$120,3,0),""))&amp;""</f>
        <v/>
      </c>
      <c r="L337" s="210" t="str">
        <f>IFERROR(VLOOKUP($I337,'Institution Evaluation'!$A$55:$F$346,4,0),IFERROR(VLOOKUP($I337,'Privacy Analyst Evaluation'!$A$46:$F$120,4,0),""))&amp;""</f>
        <v/>
      </c>
      <c r="M337" s="210"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2">
      <c r="A338" s="210" t="str">
        <f>IFERROR(IF($A337+1&gt;'(backend scoring)'!$T$335,"",$A337+1),"")</f>
        <v/>
      </c>
      <c r="B338" s="210" t="str">
        <f>_xlfn.XLOOKUP($A338,'(backend scoring)'!$V$2:$V$333,'(backend scoring)'!$A$2:$A$333,"")</f>
        <v/>
      </c>
      <c r="C338" s="210" t="str">
        <f>IFERROR(VLOOKUP($B338,'Institution Evaluation'!$A$55:$F$346,2,0),IFERROR(VLOOKUP($B338,'Privacy Analyst Evaluation'!$A$46:$F$120,2,0),""))&amp;""</f>
        <v/>
      </c>
      <c r="D338" s="210" t="str">
        <f>IFERROR(VLOOKUP($B338,'Institution Evaluation'!$A$55:$F$346,3,0),IFERROR(VLOOKUP($B338,'Privacy Analyst Evaluation'!$A$46:$F$120,3,0),""))&amp;""</f>
        <v/>
      </c>
      <c r="E338" s="210" t="str">
        <f>IFERROR(VLOOKUP($B338,'Institution Evaluation'!$A$55:$F$346,4,0),IFERROR(VLOOKUP($B338,'Privacy Analyst Evaluation'!$A$46:$F$120,4,0),""))&amp;""</f>
        <v/>
      </c>
      <c r="F338" s="210" t="str">
        <f>IFERROR(VLOOKUP($B338,'Institution Evaluation'!$A$55:$F$346,6,0),IFERROR(VLOOKUP($B338,'Privacy Analyst Evaluation'!$A$46:$F$120,6,0),""))&amp;""</f>
        <v/>
      </c>
      <c r="G338" s="211"/>
      <c r="H338" s="210" t="str">
        <f>IFERROR(IF($H337+1&gt;'(backend scoring)'!$Q$335,"",$H337+1),"")</f>
        <v/>
      </c>
      <c r="I338" s="210" t="str">
        <f>_xlfn.XLOOKUP($H338,'(backend scoring)'!$S$2:$S$333,'(backend scoring)'!$A$2:$A$333,"")</f>
        <v/>
      </c>
      <c r="J338" s="210" t="str">
        <f>IFERROR(VLOOKUP($I338,'Institution Evaluation'!$A$55:$F$346,2,0),IFERROR(VLOOKUP($I338,'Privacy Analyst Evaluation'!$A$46:$F$120,2,0),""))</f>
        <v/>
      </c>
      <c r="K338" s="210" t="str">
        <f>IFERROR(VLOOKUP($I338,'Institution Evaluation'!$A$55:$F$346,3,0),IFERROR(VLOOKUP($I338,'Privacy Analyst Evaluation'!$A$46:$F$120,3,0),""))&amp;""</f>
        <v/>
      </c>
      <c r="L338" s="210" t="str">
        <f>IFERROR(VLOOKUP($I338,'Institution Evaluation'!$A$55:$F$346,4,0),IFERROR(VLOOKUP($I338,'Privacy Analyst Evaluation'!$A$46:$F$120,4,0),""))&amp;""</f>
        <v/>
      </c>
      <c r="M338" s="210"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2">
      <c r="A339" s="210" t="str">
        <f>IFERROR(IF($A338+1&gt;'(backend scoring)'!$T$335,"",$A338+1),"")</f>
        <v/>
      </c>
      <c r="B339" s="210" t="str">
        <f>_xlfn.XLOOKUP($A339,'(backend scoring)'!$V$2:$V$333,'(backend scoring)'!$A$2:$A$333,"")</f>
        <v/>
      </c>
      <c r="C339" s="210" t="str">
        <f>IFERROR(VLOOKUP($B339,'Institution Evaluation'!$A$55:$F$346,2,0),IFERROR(VLOOKUP($B339,'Privacy Analyst Evaluation'!$A$46:$F$120,2,0),""))&amp;""</f>
        <v/>
      </c>
      <c r="D339" s="210" t="str">
        <f>IFERROR(VLOOKUP($B339,'Institution Evaluation'!$A$55:$F$346,3,0),IFERROR(VLOOKUP($B339,'Privacy Analyst Evaluation'!$A$46:$F$120,3,0),""))&amp;""</f>
        <v/>
      </c>
      <c r="E339" s="210" t="str">
        <f>IFERROR(VLOOKUP($B339,'Institution Evaluation'!$A$55:$F$346,4,0),IFERROR(VLOOKUP($B339,'Privacy Analyst Evaluation'!$A$46:$F$120,4,0),""))&amp;""</f>
        <v/>
      </c>
      <c r="F339" s="210" t="str">
        <f>IFERROR(VLOOKUP($B339,'Institution Evaluation'!$A$55:$F$346,6,0),IFERROR(VLOOKUP($B339,'Privacy Analyst Evaluation'!$A$46:$F$120,6,0),""))&amp;""</f>
        <v/>
      </c>
      <c r="G339" s="211"/>
      <c r="H339" s="210" t="str">
        <f>IFERROR(IF($H338+1&gt;'(backend scoring)'!$Q$335,"",$H338+1),"")</f>
        <v/>
      </c>
      <c r="I339" s="210" t="str">
        <f>_xlfn.XLOOKUP($H339,'(backend scoring)'!$S$2:$S$333,'(backend scoring)'!$A$2:$A$333,"")</f>
        <v/>
      </c>
      <c r="J339" s="210" t="str">
        <f>IFERROR(VLOOKUP($I339,'Institution Evaluation'!$A$55:$F$346,2,0),IFERROR(VLOOKUP($I339,'Privacy Analyst Evaluation'!$A$46:$F$120,2,0),""))</f>
        <v/>
      </c>
      <c r="K339" s="210" t="str">
        <f>IFERROR(VLOOKUP($I339,'Institution Evaluation'!$A$55:$F$346,3,0),IFERROR(VLOOKUP($I339,'Privacy Analyst Evaluation'!$A$46:$F$120,3,0),""))&amp;""</f>
        <v/>
      </c>
      <c r="L339" s="210" t="str">
        <f>IFERROR(VLOOKUP($I339,'Institution Evaluation'!$A$55:$F$346,4,0),IFERROR(VLOOKUP($I339,'Privacy Analyst Evaluation'!$A$46:$F$120,4,0),""))&amp;""</f>
        <v/>
      </c>
      <c r="M339" s="210"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2">
      <c r="A340" s="210" t="str">
        <f>IFERROR(IF($A339+1&gt;'(backend scoring)'!$T$335,"",$A339+1),"")</f>
        <v/>
      </c>
      <c r="B340" s="210" t="str">
        <f>_xlfn.XLOOKUP($A340,'(backend scoring)'!$V$2:$V$333,'(backend scoring)'!$A$2:$A$333,"")</f>
        <v/>
      </c>
      <c r="C340" s="210" t="str">
        <f>IFERROR(VLOOKUP($B340,'Institution Evaluation'!$A$55:$F$346,2,0),IFERROR(VLOOKUP($B340,'Privacy Analyst Evaluation'!$A$46:$F$120,2,0),""))&amp;""</f>
        <v/>
      </c>
      <c r="D340" s="210" t="str">
        <f>IFERROR(VLOOKUP($B340,'Institution Evaluation'!$A$55:$F$346,3,0),IFERROR(VLOOKUP($B340,'Privacy Analyst Evaluation'!$A$46:$F$120,3,0),""))&amp;""</f>
        <v/>
      </c>
      <c r="E340" s="210" t="str">
        <f>IFERROR(VLOOKUP($B340,'Institution Evaluation'!$A$55:$F$346,4,0),IFERROR(VLOOKUP($B340,'Privacy Analyst Evaluation'!$A$46:$F$120,4,0),""))&amp;""</f>
        <v/>
      </c>
      <c r="F340" s="210" t="str">
        <f>IFERROR(VLOOKUP($B340,'Institution Evaluation'!$A$55:$F$346,6,0),IFERROR(VLOOKUP($B340,'Privacy Analyst Evaluation'!$A$46:$F$120,6,0),""))&amp;""</f>
        <v/>
      </c>
      <c r="G340" s="211"/>
      <c r="H340" s="210" t="str">
        <f>IFERROR(IF($H339+1&gt;'(backend scoring)'!$Q$335,"",$H339+1),"")</f>
        <v/>
      </c>
      <c r="I340" s="210" t="str">
        <f>_xlfn.XLOOKUP($H340,'(backend scoring)'!$S$2:$S$333,'(backend scoring)'!$A$2:$A$333,"")</f>
        <v/>
      </c>
      <c r="J340" s="210" t="str">
        <f>IFERROR(VLOOKUP($I340,'Institution Evaluation'!$A$55:$F$346,2,0),IFERROR(VLOOKUP($I340,'Privacy Analyst Evaluation'!$A$46:$F$120,2,0),""))</f>
        <v/>
      </c>
      <c r="K340" s="210" t="str">
        <f>IFERROR(VLOOKUP($I340,'Institution Evaluation'!$A$55:$F$346,3,0),IFERROR(VLOOKUP($I340,'Privacy Analyst Evaluation'!$A$46:$F$120,3,0),""))&amp;""</f>
        <v/>
      </c>
      <c r="L340" s="210" t="str">
        <f>IFERROR(VLOOKUP($I340,'Institution Evaluation'!$A$55:$F$346,4,0),IFERROR(VLOOKUP($I340,'Privacy Analyst Evaluation'!$A$46:$F$120,4,0),""))&amp;""</f>
        <v/>
      </c>
      <c r="M340" s="210"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2">
      <c r="A341" s="210" t="str">
        <f>IFERROR(IF($A340+1&gt;'(backend scoring)'!$T$335,"",$A340+1),"")</f>
        <v/>
      </c>
      <c r="B341" s="210" t="str">
        <f>_xlfn.XLOOKUP($A341,'(backend scoring)'!$V$2:$V$333,'(backend scoring)'!$A$2:$A$333,"")</f>
        <v/>
      </c>
      <c r="C341" s="210" t="str">
        <f>IFERROR(VLOOKUP($B341,'Institution Evaluation'!$A$55:$F$346,2,0),IFERROR(VLOOKUP($B341,'Privacy Analyst Evaluation'!$A$46:$F$120,2,0),""))&amp;""</f>
        <v/>
      </c>
      <c r="D341" s="210" t="str">
        <f>IFERROR(VLOOKUP($B341,'Institution Evaluation'!$A$55:$F$346,3,0),IFERROR(VLOOKUP($B341,'Privacy Analyst Evaluation'!$A$46:$F$120,3,0),""))&amp;""</f>
        <v/>
      </c>
      <c r="E341" s="210" t="str">
        <f>IFERROR(VLOOKUP($B341,'Institution Evaluation'!$A$55:$F$346,4,0),IFERROR(VLOOKUP($B341,'Privacy Analyst Evaluation'!$A$46:$F$120,4,0),""))&amp;""</f>
        <v/>
      </c>
      <c r="F341" s="210" t="str">
        <f>IFERROR(VLOOKUP($B341,'Institution Evaluation'!$A$55:$F$346,6,0),IFERROR(VLOOKUP($B341,'Privacy Analyst Evaluation'!$A$46:$F$120,6,0),""))&amp;""</f>
        <v/>
      </c>
      <c r="G341" s="211"/>
      <c r="H341" s="210" t="str">
        <f>IFERROR(IF($H340+1&gt;'(backend scoring)'!$Q$335,"",$H340+1),"")</f>
        <v/>
      </c>
      <c r="I341" s="210" t="str">
        <f>_xlfn.XLOOKUP($H341,'(backend scoring)'!$S$2:$S$333,'(backend scoring)'!$A$2:$A$333,"")</f>
        <v/>
      </c>
      <c r="J341" s="210" t="str">
        <f>IFERROR(VLOOKUP($I341,'Institution Evaluation'!$A$55:$F$346,2,0),IFERROR(VLOOKUP($I341,'Privacy Analyst Evaluation'!$A$46:$F$120,2,0),""))</f>
        <v/>
      </c>
      <c r="K341" s="210" t="str">
        <f>IFERROR(VLOOKUP($I341,'Institution Evaluation'!$A$55:$F$346,3,0),IFERROR(VLOOKUP($I341,'Privacy Analyst Evaluation'!$A$46:$F$120,3,0),""))&amp;""</f>
        <v/>
      </c>
      <c r="L341" s="210" t="str">
        <f>IFERROR(VLOOKUP($I341,'Institution Evaluation'!$A$55:$F$346,4,0),IFERROR(VLOOKUP($I341,'Privacy Analyst Evaluation'!$A$46:$F$120,4,0),""))&amp;""</f>
        <v/>
      </c>
      <c r="M341" s="210"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2">
      <c r="A342" s="210" t="str">
        <f>IFERROR(IF($A341+1&gt;'(backend scoring)'!$T$335,"",$A341+1),"")</f>
        <v/>
      </c>
      <c r="B342" s="210" t="str">
        <f>_xlfn.XLOOKUP($A342,'(backend scoring)'!$V$2:$V$333,'(backend scoring)'!$A$2:$A$333,"")</f>
        <v/>
      </c>
      <c r="C342" s="210" t="str">
        <f>IFERROR(VLOOKUP($B342,'Institution Evaluation'!$A$55:$F$346,2,0),IFERROR(VLOOKUP($B342,'Privacy Analyst Evaluation'!$A$46:$F$120,2,0),""))&amp;""</f>
        <v/>
      </c>
      <c r="D342" s="210" t="str">
        <f>IFERROR(VLOOKUP($B342,'Institution Evaluation'!$A$55:$F$346,3,0),IFERROR(VLOOKUP($B342,'Privacy Analyst Evaluation'!$A$46:$F$120,3,0),""))&amp;""</f>
        <v/>
      </c>
      <c r="E342" s="210" t="str">
        <f>IFERROR(VLOOKUP($B342,'Institution Evaluation'!$A$55:$F$346,4,0),IFERROR(VLOOKUP($B342,'Privacy Analyst Evaluation'!$A$46:$F$120,4,0),""))&amp;""</f>
        <v/>
      </c>
      <c r="F342" s="210" t="str">
        <f>IFERROR(VLOOKUP($B342,'Institution Evaluation'!$A$55:$F$346,6,0),IFERROR(VLOOKUP($B342,'Privacy Analyst Evaluation'!$A$46:$F$120,6,0),""))&amp;""</f>
        <v/>
      </c>
      <c r="G342" s="211"/>
      <c r="H342" s="210" t="str">
        <f>IFERROR(IF($H341+1&gt;'(backend scoring)'!$Q$335,"",$H341+1),"")</f>
        <v/>
      </c>
      <c r="I342" s="210" t="str">
        <f>_xlfn.XLOOKUP($H342,'(backend scoring)'!$S$2:$S$333,'(backend scoring)'!$A$2:$A$333,"")</f>
        <v/>
      </c>
      <c r="J342" s="210" t="str">
        <f>IFERROR(VLOOKUP($I342,'Institution Evaluation'!$A$55:$F$346,2,0),IFERROR(VLOOKUP($I342,'Privacy Analyst Evaluation'!$A$46:$F$120,2,0),""))</f>
        <v/>
      </c>
      <c r="K342" s="210" t="str">
        <f>IFERROR(VLOOKUP($I342,'Institution Evaluation'!$A$55:$F$346,3,0),IFERROR(VLOOKUP($I342,'Privacy Analyst Evaluation'!$A$46:$F$120,3,0),""))&amp;""</f>
        <v/>
      </c>
      <c r="L342" s="210" t="str">
        <f>IFERROR(VLOOKUP($I342,'Institution Evaluation'!$A$55:$F$346,4,0),IFERROR(VLOOKUP($I342,'Privacy Analyst Evaluation'!$A$46:$F$120,4,0),""))&amp;""</f>
        <v/>
      </c>
      <c r="M342" s="210"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2">
      <c r="A343" s="210" t="str">
        <f>IFERROR(IF($A342+1&gt;'(backend scoring)'!$T$335,"",$A342+1),"")</f>
        <v/>
      </c>
      <c r="B343" s="210" t="str">
        <f>_xlfn.XLOOKUP($A343,'(backend scoring)'!$V$2:$V$333,'(backend scoring)'!$A$2:$A$333,"")</f>
        <v/>
      </c>
      <c r="C343" s="210" t="str">
        <f>IFERROR(VLOOKUP($B343,'Institution Evaluation'!$A$55:$F$346,2,0),IFERROR(VLOOKUP($B343,'Privacy Analyst Evaluation'!$A$46:$F$120,2,0),""))&amp;""</f>
        <v/>
      </c>
      <c r="D343" s="210" t="str">
        <f>IFERROR(VLOOKUP($B343,'Institution Evaluation'!$A$55:$F$346,3,0),IFERROR(VLOOKUP($B343,'Privacy Analyst Evaluation'!$A$46:$F$120,3,0),""))&amp;""</f>
        <v/>
      </c>
      <c r="E343" s="210" t="str">
        <f>IFERROR(VLOOKUP($B343,'Institution Evaluation'!$A$55:$F$346,4,0),IFERROR(VLOOKUP($B343,'Privacy Analyst Evaluation'!$A$46:$F$120,4,0),""))&amp;""</f>
        <v/>
      </c>
      <c r="F343" s="210" t="str">
        <f>IFERROR(VLOOKUP($B343,'Institution Evaluation'!$A$55:$F$346,6,0),IFERROR(VLOOKUP($B343,'Privacy Analyst Evaluation'!$A$46:$F$120,6,0),""))&amp;""</f>
        <v/>
      </c>
      <c r="G343" s="211"/>
      <c r="H343" s="210" t="str">
        <f>IFERROR(IF($H342+1&gt;'(backend scoring)'!$Q$335,"",$H342+1),"")</f>
        <v/>
      </c>
      <c r="I343" s="210" t="str">
        <f>_xlfn.XLOOKUP($H343,'(backend scoring)'!$S$2:$S$333,'(backend scoring)'!$A$2:$A$333,"")</f>
        <v/>
      </c>
      <c r="J343" s="210" t="str">
        <f>IFERROR(VLOOKUP($I343,'Institution Evaluation'!$A$55:$F$346,2,0),IFERROR(VLOOKUP($I343,'Privacy Analyst Evaluation'!$A$46:$F$120,2,0),""))</f>
        <v/>
      </c>
      <c r="K343" s="210" t="str">
        <f>IFERROR(VLOOKUP($I343,'Institution Evaluation'!$A$55:$F$346,3,0),IFERROR(VLOOKUP($I343,'Privacy Analyst Evaluation'!$A$46:$F$120,3,0),""))&amp;""</f>
        <v/>
      </c>
      <c r="L343" s="210" t="str">
        <f>IFERROR(VLOOKUP($I343,'Institution Evaluation'!$A$55:$F$346,4,0),IFERROR(VLOOKUP($I343,'Privacy Analyst Evaluation'!$A$46:$F$120,4,0),""))&amp;""</f>
        <v/>
      </c>
      <c r="M343" s="210"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2">
      <c r="A344" s="210" t="str">
        <f>IFERROR(IF($A343+1&gt;'(backend scoring)'!$T$335,"",$A343+1),"")</f>
        <v/>
      </c>
      <c r="B344" s="210" t="str">
        <f>_xlfn.XLOOKUP($A344,'(backend scoring)'!$V$2:$V$333,'(backend scoring)'!$A$2:$A$333,"")</f>
        <v/>
      </c>
      <c r="C344" s="210" t="str">
        <f>IFERROR(VLOOKUP($B344,'Institution Evaluation'!$A$55:$F$346,2,0),IFERROR(VLOOKUP($B344,'Privacy Analyst Evaluation'!$A$46:$F$120,2,0),""))&amp;""</f>
        <v/>
      </c>
      <c r="D344" s="210" t="str">
        <f>IFERROR(VLOOKUP($B344,'Institution Evaluation'!$A$55:$F$346,3,0),IFERROR(VLOOKUP($B344,'Privacy Analyst Evaluation'!$A$46:$F$120,3,0),""))&amp;""</f>
        <v/>
      </c>
      <c r="E344" s="210" t="str">
        <f>IFERROR(VLOOKUP($B344,'Institution Evaluation'!$A$55:$F$346,4,0),IFERROR(VLOOKUP($B344,'Privacy Analyst Evaluation'!$A$46:$F$120,4,0),""))&amp;""</f>
        <v/>
      </c>
      <c r="F344" s="210" t="str">
        <f>IFERROR(VLOOKUP($B344,'Institution Evaluation'!$A$55:$F$346,6,0),IFERROR(VLOOKUP($B344,'Privacy Analyst Evaluation'!$A$46:$F$120,6,0),""))&amp;""</f>
        <v/>
      </c>
      <c r="G344" s="211"/>
      <c r="H344" s="210" t="str">
        <f>IFERROR(IF($H343+1&gt;'(backend scoring)'!$Q$335,"",$H343+1),"")</f>
        <v/>
      </c>
      <c r="I344" s="210" t="str">
        <f>_xlfn.XLOOKUP($H344,'(backend scoring)'!$S$2:$S$333,'(backend scoring)'!$A$2:$A$333,"")</f>
        <v/>
      </c>
      <c r="J344" s="210" t="str">
        <f>IFERROR(VLOOKUP($I344,'Institution Evaluation'!$A$55:$F$346,2,0),IFERROR(VLOOKUP($I344,'Privacy Analyst Evaluation'!$A$46:$F$120,2,0),""))</f>
        <v/>
      </c>
      <c r="K344" s="210" t="str">
        <f>IFERROR(VLOOKUP($I344,'Institution Evaluation'!$A$55:$F$346,3,0),IFERROR(VLOOKUP($I344,'Privacy Analyst Evaluation'!$A$46:$F$120,3,0),""))&amp;""</f>
        <v/>
      </c>
      <c r="L344" s="210" t="str">
        <f>IFERROR(VLOOKUP($I344,'Institution Evaluation'!$A$55:$F$346,4,0),IFERROR(VLOOKUP($I344,'Privacy Analyst Evaluation'!$A$46:$F$120,4,0),""))&amp;""</f>
        <v/>
      </c>
      <c r="M344" s="210"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2">
      <c r="A345" s="210" t="str">
        <f>IFERROR(IF($A344+1&gt;'(backend scoring)'!$T$335,"",$A344+1),"")</f>
        <v/>
      </c>
      <c r="B345" s="210" t="str">
        <f>_xlfn.XLOOKUP($A345,'(backend scoring)'!$V$2:$V$333,'(backend scoring)'!$A$2:$A$333,"")</f>
        <v/>
      </c>
      <c r="C345" s="210" t="str">
        <f>IFERROR(VLOOKUP($B345,'Institution Evaluation'!$A$55:$F$346,2,0),IFERROR(VLOOKUP($B345,'Privacy Analyst Evaluation'!$A$46:$F$120,2,0),""))&amp;""</f>
        <v/>
      </c>
      <c r="D345" s="210" t="str">
        <f>IFERROR(VLOOKUP($B345,'Institution Evaluation'!$A$55:$F$346,3,0),IFERROR(VLOOKUP($B345,'Privacy Analyst Evaluation'!$A$46:$F$120,3,0),""))&amp;""</f>
        <v/>
      </c>
      <c r="E345" s="210" t="str">
        <f>IFERROR(VLOOKUP($B345,'Institution Evaluation'!$A$55:$F$346,4,0),IFERROR(VLOOKUP($B345,'Privacy Analyst Evaluation'!$A$46:$F$120,4,0),""))&amp;""</f>
        <v/>
      </c>
      <c r="F345" s="210" t="str">
        <f>IFERROR(VLOOKUP($B345,'Institution Evaluation'!$A$55:$F$346,6,0),IFERROR(VLOOKUP($B345,'Privacy Analyst Evaluation'!$A$46:$F$120,6,0),""))&amp;""</f>
        <v/>
      </c>
      <c r="G345" s="211"/>
      <c r="H345" s="210" t="str">
        <f>IFERROR(IF($H344+1&gt;'(backend scoring)'!$Q$335,"",$H344+1),"")</f>
        <v/>
      </c>
      <c r="I345" s="210" t="str">
        <f>_xlfn.XLOOKUP($H345,'(backend scoring)'!$S$2:$S$333,'(backend scoring)'!$A$2:$A$333,"")</f>
        <v/>
      </c>
      <c r="J345" s="210" t="str">
        <f>IFERROR(VLOOKUP($I345,'Institution Evaluation'!$A$55:$F$346,2,0),IFERROR(VLOOKUP($I345,'Privacy Analyst Evaluation'!$A$46:$F$120,2,0),""))</f>
        <v/>
      </c>
      <c r="K345" s="210" t="str">
        <f>IFERROR(VLOOKUP($I345,'Institution Evaluation'!$A$55:$F$346,3,0),IFERROR(VLOOKUP($I345,'Privacy Analyst Evaluation'!$A$46:$F$120,3,0),""))&amp;""</f>
        <v/>
      </c>
      <c r="L345" s="210" t="str">
        <f>IFERROR(VLOOKUP($I345,'Institution Evaluation'!$A$55:$F$346,4,0),IFERROR(VLOOKUP($I345,'Privacy Analyst Evaluation'!$A$46:$F$120,4,0),""))&amp;""</f>
        <v/>
      </c>
      <c r="M345" s="210"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2">
      <c r="A346" s="210" t="str">
        <f>IFERROR(IF($A345+1&gt;'(backend scoring)'!$T$335,"",$A345+1),"")</f>
        <v/>
      </c>
      <c r="B346" s="210" t="str">
        <f>_xlfn.XLOOKUP($A346,'(backend scoring)'!$V$2:$V$333,'(backend scoring)'!$A$2:$A$333,"")</f>
        <v/>
      </c>
      <c r="C346" s="210" t="str">
        <f>IFERROR(VLOOKUP($B346,'Institution Evaluation'!$A$55:$F$346,2,0),IFERROR(VLOOKUP($B346,'Privacy Analyst Evaluation'!$A$46:$F$120,2,0),""))&amp;""</f>
        <v/>
      </c>
      <c r="D346" s="210" t="str">
        <f>IFERROR(VLOOKUP($B346,'Institution Evaluation'!$A$55:$F$346,3,0),IFERROR(VLOOKUP($B346,'Privacy Analyst Evaluation'!$A$46:$F$120,3,0),""))&amp;""</f>
        <v/>
      </c>
      <c r="E346" s="210" t="str">
        <f>IFERROR(VLOOKUP($B346,'Institution Evaluation'!$A$55:$F$346,4,0),IFERROR(VLOOKUP($B346,'Privacy Analyst Evaluation'!$A$46:$F$120,4,0),""))&amp;""</f>
        <v/>
      </c>
      <c r="F346" s="210" t="str">
        <f>IFERROR(VLOOKUP($B346,'Institution Evaluation'!$A$55:$F$346,6,0),IFERROR(VLOOKUP($B346,'Privacy Analyst Evaluation'!$A$46:$F$120,6,0),""))&amp;""</f>
        <v/>
      </c>
      <c r="G346" s="211"/>
      <c r="H346" s="210" t="str">
        <f>IFERROR(IF($H345+1&gt;'(backend scoring)'!$Q$335,"",$H345+1),"")</f>
        <v/>
      </c>
      <c r="I346" s="210" t="str">
        <f>_xlfn.XLOOKUP($H346,'(backend scoring)'!$S$2:$S$333,'(backend scoring)'!$A$2:$A$333,"")</f>
        <v/>
      </c>
      <c r="J346" s="210" t="str">
        <f>IFERROR(VLOOKUP($I346,'Institution Evaluation'!$A$55:$F$346,2,0),IFERROR(VLOOKUP($I346,'Privacy Analyst Evaluation'!$A$46:$F$120,2,0),""))</f>
        <v/>
      </c>
      <c r="K346" s="210" t="str">
        <f>IFERROR(VLOOKUP($I346,'Institution Evaluation'!$A$55:$F$346,3,0),IFERROR(VLOOKUP($I346,'Privacy Analyst Evaluation'!$A$46:$F$120,3,0),""))&amp;""</f>
        <v/>
      </c>
      <c r="L346" s="210" t="str">
        <f>IFERROR(VLOOKUP($I346,'Institution Evaluation'!$A$55:$F$346,4,0),IFERROR(VLOOKUP($I346,'Privacy Analyst Evaluation'!$A$46:$F$120,4,0),""))&amp;""</f>
        <v/>
      </c>
      <c r="M346" s="210"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2">
      <c r="A347" s="210" t="str">
        <f>IFERROR(IF($A346+1&gt;'(backend scoring)'!$T$335,"",$A346+1),"")</f>
        <v/>
      </c>
      <c r="B347" s="210" t="str">
        <f>_xlfn.XLOOKUP($A347,'(backend scoring)'!$V$2:$V$333,'(backend scoring)'!$A$2:$A$333,"")</f>
        <v/>
      </c>
      <c r="C347" s="210" t="str">
        <f>IFERROR(VLOOKUP($B347,'Institution Evaluation'!$A$55:$F$346,2,0),IFERROR(VLOOKUP($B347,'Privacy Analyst Evaluation'!$A$46:$F$120,2,0),""))&amp;""</f>
        <v/>
      </c>
      <c r="D347" s="210" t="str">
        <f>IFERROR(VLOOKUP($B347,'Institution Evaluation'!$A$55:$F$346,3,0),IFERROR(VLOOKUP($B347,'Privacy Analyst Evaluation'!$A$46:$F$120,3,0),""))&amp;""</f>
        <v/>
      </c>
      <c r="E347" s="210" t="str">
        <f>IFERROR(VLOOKUP($B347,'Institution Evaluation'!$A$55:$F$346,4,0),IFERROR(VLOOKUP($B347,'Privacy Analyst Evaluation'!$A$46:$F$120,4,0),""))&amp;""</f>
        <v/>
      </c>
      <c r="F347" s="210" t="str">
        <f>IFERROR(VLOOKUP($B347,'Institution Evaluation'!$A$55:$F$346,6,0),IFERROR(VLOOKUP($B347,'Privacy Analyst Evaluation'!$A$46:$F$120,6,0),""))&amp;""</f>
        <v/>
      </c>
      <c r="G347" s="211"/>
      <c r="H347" s="210" t="str">
        <f>IFERROR(IF($H346+1&gt;'(backend scoring)'!$Q$335,"",$H346+1),"")</f>
        <v/>
      </c>
      <c r="I347" s="210" t="str">
        <f>_xlfn.XLOOKUP($H347,'(backend scoring)'!$S$2:$S$333,'(backend scoring)'!$A$2:$A$333,"")</f>
        <v/>
      </c>
      <c r="J347" s="210" t="str">
        <f>IFERROR(VLOOKUP($I347,'Institution Evaluation'!$A$55:$F$346,2,0),IFERROR(VLOOKUP($I347,'Privacy Analyst Evaluation'!$A$46:$F$120,2,0),""))</f>
        <v/>
      </c>
      <c r="K347" s="210" t="str">
        <f>IFERROR(VLOOKUP($I347,'Institution Evaluation'!$A$55:$F$346,3,0),IFERROR(VLOOKUP($I347,'Privacy Analyst Evaluation'!$A$46:$F$120,3,0),""))&amp;""</f>
        <v/>
      </c>
      <c r="L347" s="210" t="str">
        <f>IFERROR(VLOOKUP($I347,'Institution Evaluation'!$A$55:$F$346,4,0),IFERROR(VLOOKUP($I347,'Privacy Analyst Evaluation'!$A$46:$F$120,4,0),""))&amp;""</f>
        <v/>
      </c>
      <c r="M347" s="210"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2">
      <c r="A348" s="210" t="str">
        <f>IFERROR(IF($A347+1&gt;'(backend scoring)'!$T$335,"",$A347+1),"")</f>
        <v/>
      </c>
      <c r="B348" s="210" t="str">
        <f>_xlfn.XLOOKUP($A348,'(backend scoring)'!$V$2:$V$333,'(backend scoring)'!$A$2:$A$333,"")</f>
        <v/>
      </c>
      <c r="C348" s="210" t="str">
        <f>IFERROR(VLOOKUP($B348,'Institution Evaluation'!$A$55:$F$346,2,0),IFERROR(VLOOKUP($B348,'Privacy Analyst Evaluation'!$A$46:$F$120,2,0),""))&amp;""</f>
        <v/>
      </c>
      <c r="D348" s="210" t="str">
        <f>IFERROR(VLOOKUP($B348,'Institution Evaluation'!$A$55:$F$346,3,0),IFERROR(VLOOKUP($B348,'Privacy Analyst Evaluation'!$A$46:$F$120,3,0),""))&amp;""</f>
        <v/>
      </c>
      <c r="E348" s="210" t="str">
        <f>IFERROR(VLOOKUP($B348,'Institution Evaluation'!$A$55:$F$346,4,0),IFERROR(VLOOKUP($B348,'Privacy Analyst Evaluation'!$A$46:$F$120,4,0),""))&amp;""</f>
        <v/>
      </c>
      <c r="F348" s="210" t="str">
        <f>IFERROR(VLOOKUP($B348,'Institution Evaluation'!$A$55:$F$346,6,0),IFERROR(VLOOKUP($B348,'Privacy Analyst Evaluation'!$A$46:$F$120,6,0),""))&amp;""</f>
        <v/>
      </c>
      <c r="G348" s="211"/>
      <c r="H348" s="210" t="str">
        <f>IFERROR(IF($H347+1&gt;'(backend scoring)'!$Q$335,"",$H347+1),"")</f>
        <v/>
      </c>
      <c r="I348" s="210" t="str">
        <f>_xlfn.XLOOKUP($H348,'(backend scoring)'!$S$2:$S$333,'(backend scoring)'!$A$2:$A$333,"")</f>
        <v/>
      </c>
      <c r="J348" s="210" t="str">
        <f>IFERROR(VLOOKUP($I348,'Institution Evaluation'!$A$55:$F$346,2,0),IFERROR(VLOOKUP($I348,'Privacy Analyst Evaluation'!$A$46:$F$120,2,0),""))</f>
        <v/>
      </c>
      <c r="K348" s="210" t="str">
        <f>IFERROR(VLOOKUP($I348,'Institution Evaluation'!$A$55:$F$346,3,0),IFERROR(VLOOKUP($I348,'Privacy Analyst Evaluation'!$A$46:$F$120,3,0),""))&amp;""</f>
        <v/>
      </c>
      <c r="L348" s="210" t="str">
        <f>IFERROR(VLOOKUP($I348,'Institution Evaluation'!$A$55:$F$346,4,0),IFERROR(VLOOKUP($I348,'Privacy Analyst Evaluation'!$A$46:$F$120,4,0),""))&amp;""</f>
        <v/>
      </c>
      <c r="M348" s="210"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2">
      <c r="A349" s="210" t="str">
        <f>IFERROR(IF($A348+1&gt;'(backend scoring)'!$T$335,"",$A348+1),"")</f>
        <v/>
      </c>
      <c r="B349" s="210" t="str">
        <f>_xlfn.XLOOKUP($A349,'(backend scoring)'!$V$2:$V$333,'(backend scoring)'!$A$2:$A$333,"")</f>
        <v/>
      </c>
      <c r="C349" s="210" t="str">
        <f>IFERROR(VLOOKUP($B349,'Institution Evaluation'!$A$55:$F$346,2,0),IFERROR(VLOOKUP($B349,'Privacy Analyst Evaluation'!$A$46:$F$120,2,0),""))&amp;""</f>
        <v/>
      </c>
      <c r="D349" s="210" t="str">
        <f>IFERROR(VLOOKUP($B349,'Institution Evaluation'!$A$55:$F$346,3,0),IFERROR(VLOOKUP($B349,'Privacy Analyst Evaluation'!$A$46:$F$120,3,0),""))&amp;""</f>
        <v/>
      </c>
      <c r="E349" s="210" t="str">
        <f>IFERROR(VLOOKUP($B349,'Institution Evaluation'!$A$55:$F$346,4,0),IFERROR(VLOOKUP($B349,'Privacy Analyst Evaluation'!$A$46:$F$120,4,0),""))&amp;""</f>
        <v/>
      </c>
      <c r="F349" s="210" t="str">
        <f>IFERROR(VLOOKUP($B349,'Institution Evaluation'!$A$55:$F$346,6,0),IFERROR(VLOOKUP($B349,'Privacy Analyst Evaluation'!$A$46:$F$120,6,0),""))&amp;""</f>
        <v/>
      </c>
      <c r="G349" s="211"/>
      <c r="H349" s="210" t="str">
        <f>IFERROR(IF($H348+1&gt;'(backend scoring)'!$Q$335,"",$H348+1),"")</f>
        <v/>
      </c>
      <c r="I349" s="210" t="str">
        <f>_xlfn.XLOOKUP($H349,'(backend scoring)'!$S$2:$S$333,'(backend scoring)'!$A$2:$A$333,"")</f>
        <v/>
      </c>
      <c r="J349" s="210" t="str">
        <f>IFERROR(VLOOKUP($I349,'Institution Evaluation'!$A$55:$F$346,2,0),IFERROR(VLOOKUP($I349,'Privacy Analyst Evaluation'!$A$46:$F$120,2,0),""))</f>
        <v/>
      </c>
      <c r="K349" s="210" t="str">
        <f>IFERROR(VLOOKUP($I349,'Institution Evaluation'!$A$55:$F$346,3,0),IFERROR(VLOOKUP($I349,'Privacy Analyst Evaluation'!$A$46:$F$120,3,0),""))&amp;""</f>
        <v/>
      </c>
      <c r="L349" s="210" t="str">
        <f>IFERROR(VLOOKUP($I349,'Institution Evaluation'!$A$55:$F$346,4,0),IFERROR(VLOOKUP($I349,'Privacy Analyst Evaluation'!$A$46:$F$120,4,0),""))&amp;""</f>
        <v/>
      </c>
      <c r="M349" s="210"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2">
      <c r="A350" s="210" t="str">
        <f>IFERROR(IF($A349+1&gt;'(backend scoring)'!$T$335,"",$A349+1),"")</f>
        <v/>
      </c>
      <c r="B350" s="210" t="str">
        <f>_xlfn.XLOOKUP($A350,'(backend scoring)'!$V$2:$V$333,'(backend scoring)'!$A$2:$A$333,"")</f>
        <v/>
      </c>
      <c r="C350" s="210" t="str">
        <f>IFERROR(VLOOKUP($B350,'Institution Evaluation'!$A$55:$F$346,2,0),IFERROR(VLOOKUP($B350,'Privacy Analyst Evaluation'!$A$46:$F$120,2,0),""))&amp;""</f>
        <v/>
      </c>
      <c r="D350" s="210" t="str">
        <f>IFERROR(VLOOKUP($B350,'Institution Evaluation'!$A$55:$F$346,3,0),IFERROR(VLOOKUP($B350,'Privacy Analyst Evaluation'!$A$46:$F$120,3,0),""))&amp;""</f>
        <v/>
      </c>
      <c r="E350" s="210" t="str">
        <f>IFERROR(VLOOKUP($B350,'Institution Evaluation'!$A$55:$F$346,4,0),IFERROR(VLOOKUP($B350,'Privacy Analyst Evaluation'!$A$46:$F$120,4,0),""))&amp;""</f>
        <v/>
      </c>
      <c r="F350" s="210" t="str">
        <f>IFERROR(VLOOKUP($B350,'Institution Evaluation'!$A$55:$F$346,6,0),IFERROR(VLOOKUP($B350,'Privacy Analyst Evaluation'!$A$46:$F$120,6,0),""))&amp;""</f>
        <v/>
      </c>
      <c r="G350" s="211"/>
      <c r="H350" s="210" t="str">
        <f>IFERROR(IF($H349+1&gt;'(backend scoring)'!$Q$335,"",$H349+1),"")</f>
        <v/>
      </c>
      <c r="I350" s="210" t="str">
        <f>_xlfn.XLOOKUP($H350,'(backend scoring)'!$S$2:$S$333,'(backend scoring)'!$A$2:$A$333,"")</f>
        <v/>
      </c>
      <c r="J350" s="210" t="str">
        <f>IFERROR(VLOOKUP($I350,'Institution Evaluation'!$A$55:$F$346,2,0),IFERROR(VLOOKUP($I350,'Privacy Analyst Evaluation'!$A$46:$F$120,2,0),""))</f>
        <v/>
      </c>
      <c r="K350" s="210" t="str">
        <f>IFERROR(VLOOKUP($I350,'Institution Evaluation'!$A$55:$F$346,3,0),IFERROR(VLOOKUP($I350,'Privacy Analyst Evaluation'!$A$46:$F$120,3,0),""))&amp;""</f>
        <v/>
      </c>
      <c r="L350" s="210" t="str">
        <f>IFERROR(VLOOKUP($I350,'Institution Evaluation'!$A$55:$F$346,4,0),IFERROR(VLOOKUP($I350,'Privacy Analyst Evaluation'!$A$46:$F$120,4,0),""))&amp;""</f>
        <v/>
      </c>
      <c r="M350" s="210"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2">
      <c r="A351" s="210" t="str">
        <f>IFERROR(IF($A350+1&gt;'(backend scoring)'!$T$335,"",$A350+1),"")</f>
        <v/>
      </c>
      <c r="B351" s="210" t="str">
        <f>_xlfn.XLOOKUP($A351,'(backend scoring)'!$V$2:$V$333,'(backend scoring)'!$A$2:$A$333,"")</f>
        <v/>
      </c>
      <c r="C351" s="210" t="str">
        <f>IFERROR(VLOOKUP($B351,'Institution Evaluation'!$A$55:$F$346,2,0),IFERROR(VLOOKUP($B351,'Privacy Analyst Evaluation'!$A$46:$F$120,2,0),""))&amp;""</f>
        <v/>
      </c>
      <c r="D351" s="210" t="str">
        <f>IFERROR(VLOOKUP($B351,'Institution Evaluation'!$A$55:$F$346,3,0),IFERROR(VLOOKUP($B351,'Privacy Analyst Evaluation'!$A$46:$F$120,3,0),""))&amp;""</f>
        <v/>
      </c>
      <c r="E351" s="210" t="str">
        <f>IFERROR(VLOOKUP($B351,'Institution Evaluation'!$A$55:$F$346,4,0),IFERROR(VLOOKUP($B351,'Privacy Analyst Evaluation'!$A$46:$F$120,4,0),""))&amp;""</f>
        <v/>
      </c>
      <c r="F351" s="210" t="str">
        <f>IFERROR(VLOOKUP($B351,'Institution Evaluation'!$A$55:$F$346,6,0),IFERROR(VLOOKUP($B351,'Privacy Analyst Evaluation'!$A$46:$F$120,6,0),""))&amp;""</f>
        <v/>
      </c>
      <c r="G351" s="211"/>
      <c r="H351" s="210" t="str">
        <f>IFERROR(IF($H350+1&gt;'(backend scoring)'!$Q$335,"",$H350+1),"")</f>
        <v/>
      </c>
      <c r="I351" s="210" t="str">
        <f>_xlfn.XLOOKUP($H351,'(backend scoring)'!$S$2:$S$333,'(backend scoring)'!$A$2:$A$333,"")</f>
        <v/>
      </c>
      <c r="J351" s="210" t="str">
        <f>IFERROR(VLOOKUP($I351,'Institution Evaluation'!$A$55:$F$346,2,0),IFERROR(VLOOKUP($I351,'Privacy Analyst Evaluation'!$A$46:$F$120,2,0),""))</f>
        <v/>
      </c>
      <c r="K351" s="210" t="str">
        <f>IFERROR(VLOOKUP($I351,'Institution Evaluation'!$A$55:$F$346,3,0),IFERROR(VLOOKUP($I351,'Privacy Analyst Evaluation'!$A$46:$F$120,3,0),""))&amp;""</f>
        <v/>
      </c>
      <c r="L351" s="210" t="str">
        <f>IFERROR(VLOOKUP($I351,'Institution Evaluation'!$A$55:$F$346,4,0),IFERROR(VLOOKUP($I351,'Privacy Analyst Evaluation'!$A$46:$F$120,4,0),""))&amp;""</f>
        <v/>
      </c>
      <c r="M351" s="210"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2">
      <c r="A352" s="210" t="str">
        <f>IFERROR(IF($A351+1&gt;'(backend scoring)'!$T$335,"",$A351+1),"")</f>
        <v/>
      </c>
      <c r="B352" s="210" t="str">
        <f>_xlfn.XLOOKUP($A352,'(backend scoring)'!$V$2:$V$333,'(backend scoring)'!$A$2:$A$333,"")</f>
        <v/>
      </c>
      <c r="C352" s="210" t="str">
        <f>IFERROR(VLOOKUP($B352,'Institution Evaluation'!$A$55:$F$346,2,0),IFERROR(VLOOKUP($B352,'Privacy Analyst Evaluation'!$A$46:$F$120,2,0),""))&amp;""</f>
        <v/>
      </c>
      <c r="D352" s="210" t="str">
        <f>IFERROR(VLOOKUP($B352,'Institution Evaluation'!$A$55:$F$346,3,0),IFERROR(VLOOKUP($B352,'Privacy Analyst Evaluation'!$A$46:$F$120,3,0),""))&amp;""</f>
        <v/>
      </c>
      <c r="E352" s="210" t="str">
        <f>IFERROR(VLOOKUP($B352,'Institution Evaluation'!$A$55:$F$346,4,0),IFERROR(VLOOKUP($B352,'Privacy Analyst Evaluation'!$A$46:$F$120,4,0),""))&amp;""</f>
        <v/>
      </c>
      <c r="F352" s="210" t="str">
        <f>IFERROR(VLOOKUP($B352,'Institution Evaluation'!$A$55:$F$346,6,0),IFERROR(VLOOKUP($B352,'Privacy Analyst Evaluation'!$A$46:$F$120,6,0),""))&amp;""</f>
        <v/>
      </c>
      <c r="G352" s="211"/>
      <c r="H352" s="210" t="str">
        <f>IFERROR(IF($H351+1&gt;'(backend scoring)'!$Q$335,"",$H351+1),"")</f>
        <v/>
      </c>
      <c r="I352" s="210" t="str">
        <f>_xlfn.XLOOKUP($H352,'(backend scoring)'!$S$2:$S$333,'(backend scoring)'!$A$2:$A$333,"")</f>
        <v/>
      </c>
      <c r="J352" s="210" t="str">
        <f>IFERROR(VLOOKUP($I352,'Institution Evaluation'!$A$55:$F$346,2,0),IFERROR(VLOOKUP($I352,'Privacy Analyst Evaluation'!$A$46:$F$120,2,0),""))</f>
        <v/>
      </c>
      <c r="K352" s="210" t="str">
        <f>IFERROR(VLOOKUP($I352,'Institution Evaluation'!$A$55:$F$346,3,0),IFERROR(VLOOKUP($I352,'Privacy Analyst Evaluation'!$A$46:$F$120,3,0),""))&amp;""</f>
        <v/>
      </c>
      <c r="L352" s="210" t="str">
        <f>IFERROR(VLOOKUP($I352,'Institution Evaluation'!$A$55:$F$346,4,0),IFERROR(VLOOKUP($I352,'Privacy Analyst Evaluation'!$A$46:$F$120,4,0),""))&amp;""</f>
        <v/>
      </c>
      <c r="M352" s="210"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2">
      <c r="A353" s="210" t="str">
        <f>IFERROR(IF($A352+1&gt;'(backend scoring)'!$T$335,"",$A352+1),"")</f>
        <v/>
      </c>
      <c r="B353" s="210" t="str">
        <f>_xlfn.XLOOKUP($A353,'(backend scoring)'!$V$2:$V$333,'(backend scoring)'!$A$2:$A$333,"")</f>
        <v/>
      </c>
      <c r="C353" s="210" t="str">
        <f>IFERROR(VLOOKUP($B353,'Institution Evaluation'!$A$55:$F$346,2,0),IFERROR(VLOOKUP($B353,'Privacy Analyst Evaluation'!$A$46:$F$120,2,0),""))&amp;""</f>
        <v/>
      </c>
      <c r="D353" s="210" t="str">
        <f>IFERROR(VLOOKUP($B353,'Institution Evaluation'!$A$55:$F$346,3,0),IFERROR(VLOOKUP($B353,'Privacy Analyst Evaluation'!$A$46:$F$120,3,0),""))&amp;""</f>
        <v/>
      </c>
      <c r="E353" s="210" t="str">
        <f>IFERROR(VLOOKUP($B353,'Institution Evaluation'!$A$55:$F$346,4,0),IFERROR(VLOOKUP($B353,'Privacy Analyst Evaluation'!$A$46:$F$120,4,0),""))&amp;""</f>
        <v/>
      </c>
      <c r="F353" s="210" t="str">
        <f>IFERROR(VLOOKUP($B353,'Institution Evaluation'!$A$55:$F$346,6,0),IFERROR(VLOOKUP($B353,'Privacy Analyst Evaluation'!$A$46:$F$120,6,0),""))&amp;""</f>
        <v/>
      </c>
      <c r="G353" s="211"/>
      <c r="H353" s="210" t="str">
        <f>IFERROR(IF($H352+1&gt;'(backend scoring)'!$Q$335,"",$H352+1),"")</f>
        <v/>
      </c>
      <c r="I353" s="210" t="str">
        <f>_xlfn.XLOOKUP($H353,'(backend scoring)'!$S$2:$S$333,'(backend scoring)'!$A$2:$A$333,"")</f>
        <v/>
      </c>
      <c r="J353" s="210" t="str">
        <f>IFERROR(VLOOKUP($I353,'Institution Evaluation'!$A$55:$F$346,2,0),IFERROR(VLOOKUP($I353,'Privacy Analyst Evaluation'!$A$46:$F$120,2,0),""))</f>
        <v/>
      </c>
      <c r="K353" s="210" t="str">
        <f>IFERROR(VLOOKUP($I353,'Institution Evaluation'!$A$55:$F$346,3,0),IFERROR(VLOOKUP($I353,'Privacy Analyst Evaluation'!$A$46:$F$120,3,0),""))&amp;""</f>
        <v/>
      </c>
      <c r="L353" s="210" t="str">
        <f>IFERROR(VLOOKUP($I353,'Institution Evaluation'!$A$55:$F$346,4,0),IFERROR(VLOOKUP($I353,'Privacy Analyst Evaluation'!$A$46:$F$120,4,0),""))&amp;""</f>
        <v/>
      </c>
      <c r="M353" s="210"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2">
      <c r="A354" s="210" t="str">
        <f>IFERROR(IF($A353+1&gt;'(backend scoring)'!$T$335,"",$A353+1),"")</f>
        <v/>
      </c>
      <c r="B354" s="210" t="str">
        <f>_xlfn.XLOOKUP($A354,'(backend scoring)'!$V$2:$V$333,'(backend scoring)'!$A$2:$A$333,"")</f>
        <v/>
      </c>
      <c r="C354" s="210" t="str">
        <f>IFERROR(VLOOKUP($B354,'Institution Evaluation'!$A$55:$F$346,2,0),IFERROR(VLOOKUP($B354,'Privacy Analyst Evaluation'!$A$46:$F$120,2,0),""))&amp;""</f>
        <v/>
      </c>
      <c r="D354" s="210" t="str">
        <f>IFERROR(VLOOKUP($B354,'Institution Evaluation'!$A$55:$F$346,3,0),IFERROR(VLOOKUP($B354,'Privacy Analyst Evaluation'!$A$46:$F$120,3,0),""))&amp;""</f>
        <v/>
      </c>
      <c r="E354" s="210" t="str">
        <f>IFERROR(VLOOKUP($B354,'Institution Evaluation'!$A$55:$F$346,4,0),IFERROR(VLOOKUP($B354,'Privacy Analyst Evaluation'!$A$46:$F$120,4,0),""))&amp;""</f>
        <v/>
      </c>
      <c r="F354" s="210" t="str">
        <f>IFERROR(VLOOKUP($B354,'Institution Evaluation'!$A$55:$F$346,6,0),IFERROR(VLOOKUP($B354,'Privacy Analyst Evaluation'!$A$46:$F$120,6,0),""))&amp;""</f>
        <v/>
      </c>
      <c r="G354" s="211"/>
      <c r="H354" s="210" t="str">
        <f>IFERROR(IF($H353+1&gt;'(backend scoring)'!$Q$335,"",$H353+1),"")</f>
        <v/>
      </c>
      <c r="I354" s="210" t="str">
        <f>_xlfn.XLOOKUP($H354,'(backend scoring)'!$S$2:$S$333,'(backend scoring)'!$A$2:$A$333,"")</f>
        <v/>
      </c>
      <c r="J354" s="210" t="str">
        <f>IFERROR(VLOOKUP($I354,'Institution Evaluation'!$A$55:$F$346,2,0),IFERROR(VLOOKUP($I354,'Privacy Analyst Evaluation'!$A$46:$F$120,2,0),""))</f>
        <v/>
      </c>
      <c r="K354" s="210" t="str">
        <f>IFERROR(VLOOKUP($I354,'Institution Evaluation'!$A$55:$F$346,3,0),IFERROR(VLOOKUP($I354,'Privacy Analyst Evaluation'!$A$46:$F$120,3,0),""))&amp;""</f>
        <v/>
      </c>
      <c r="L354" s="210" t="str">
        <f>IFERROR(VLOOKUP($I354,'Institution Evaluation'!$A$55:$F$346,4,0),IFERROR(VLOOKUP($I354,'Privacy Analyst Evaluation'!$A$46:$F$120,4,0),""))&amp;""</f>
        <v/>
      </c>
      <c r="M354" s="210"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2">
      <c r="A355" s="210" t="str">
        <f>IFERROR(IF($A354+1&gt;'(backend scoring)'!$T$335,"",$A354+1),"")</f>
        <v/>
      </c>
      <c r="B355" s="210" t="str">
        <f>_xlfn.XLOOKUP($A355,'(backend scoring)'!$V$2:$V$333,'(backend scoring)'!$A$2:$A$333,"")</f>
        <v/>
      </c>
      <c r="C355" s="210" t="str">
        <f>IFERROR(VLOOKUP($B355,'Institution Evaluation'!$A$55:$F$346,2,0),IFERROR(VLOOKUP($B355,'Privacy Analyst Evaluation'!$A$46:$F$120,2,0),""))&amp;""</f>
        <v/>
      </c>
      <c r="D355" s="210" t="str">
        <f>IFERROR(VLOOKUP($B355,'Institution Evaluation'!$A$55:$F$346,3,0),IFERROR(VLOOKUP($B355,'Privacy Analyst Evaluation'!$A$46:$F$120,3,0),""))&amp;""</f>
        <v/>
      </c>
      <c r="E355" s="210" t="str">
        <f>IFERROR(VLOOKUP($B355,'Institution Evaluation'!$A$55:$F$346,4,0),IFERROR(VLOOKUP($B355,'Privacy Analyst Evaluation'!$A$46:$F$120,4,0),""))&amp;""</f>
        <v/>
      </c>
      <c r="F355" s="210" t="str">
        <f>IFERROR(VLOOKUP($B355,'Institution Evaluation'!$A$55:$F$346,6,0),IFERROR(VLOOKUP($B355,'Privacy Analyst Evaluation'!$A$46:$F$120,6,0),""))&amp;""</f>
        <v/>
      </c>
      <c r="G355" s="211"/>
      <c r="H355" s="210" t="str">
        <f>IFERROR(IF($H354+1&gt;'(backend scoring)'!$Q$335,"",$H354+1),"")</f>
        <v/>
      </c>
      <c r="I355" s="210" t="str">
        <f>_xlfn.XLOOKUP($H355,'(backend scoring)'!$S$2:$S$333,'(backend scoring)'!$A$2:$A$333,"")</f>
        <v/>
      </c>
      <c r="J355" s="210" t="str">
        <f>IFERROR(VLOOKUP($I355,'Institution Evaluation'!$A$55:$F$346,2,0),IFERROR(VLOOKUP($I355,'Privacy Analyst Evaluation'!$A$46:$F$120,2,0),""))</f>
        <v/>
      </c>
      <c r="K355" s="210" t="str">
        <f>IFERROR(VLOOKUP($I355,'Institution Evaluation'!$A$55:$F$346,3,0),IFERROR(VLOOKUP($I355,'Privacy Analyst Evaluation'!$A$46:$F$120,3,0),""))&amp;""</f>
        <v/>
      </c>
      <c r="L355" s="210" t="str">
        <f>IFERROR(VLOOKUP($I355,'Institution Evaluation'!$A$55:$F$346,4,0),IFERROR(VLOOKUP($I355,'Privacy Analyst Evaluation'!$A$46:$F$120,4,0),""))&amp;""</f>
        <v/>
      </c>
      <c r="M355" s="210"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2">
      <c r="A356" s="210" t="str">
        <f>IFERROR(IF($A355+1&gt;'(backend scoring)'!$T$335,"",$A355+1),"")</f>
        <v/>
      </c>
      <c r="B356" s="210" t="str">
        <f>_xlfn.XLOOKUP($A356,'(backend scoring)'!$V$2:$V$333,'(backend scoring)'!$A$2:$A$333,"")</f>
        <v/>
      </c>
      <c r="C356" s="210" t="str">
        <f>IFERROR(VLOOKUP($B356,'Institution Evaluation'!$A$55:$F$346,2,0),IFERROR(VLOOKUP($B356,'Privacy Analyst Evaluation'!$A$46:$F$120,2,0),""))&amp;""</f>
        <v/>
      </c>
      <c r="D356" s="210" t="str">
        <f>IFERROR(VLOOKUP($B356,'Institution Evaluation'!$A$55:$F$346,3,0),IFERROR(VLOOKUP($B356,'Privacy Analyst Evaluation'!$A$46:$F$120,3,0),""))&amp;""</f>
        <v/>
      </c>
      <c r="E356" s="210" t="str">
        <f>IFERROR(VLOOKUP($B356,'Institution Evaluation'!$A$55:$F$346,4,0),IFERROR(VLOOKUP($B356,'Privacy Analyst Evaluation'!$A$46:$F$120,4,0),""))&amp;""</f>
        <v/>
      </c>
      <c r="F356" s="210" t="str">
        <f>IFERROR(VLOOKUP($B356,'Institution Evaluation'!$A$55:$F$346,6,0),IFERROR(VLOOKUP($B356,'Privacy Analyst Evaluation'!$A$46:$F$120,6,0),""))&amp;""</f>
        <v/>
      </c>
      <c r="G356" s="211"/>
      <c r="H356" s="210" t="str">
        <f>IFERROR(IF($H355+1&gt;'(backend scoring)'!$Q$335,"",$H355+1),"")</f>
        <v/>
      </c>
      <c r="I356" s="210" t="str">
        <f>_xlfn.XLOOKUP($H356,'(backend scoring)'!$S$2:$S$333,'(backend scoring)'!$A$2:$A$333,"")</f>
        <v/>
      </c>
      <c r="J356" s="210" t="str">
        <f>IFERROR(VLOOKUP($I356,'Institution Evaluation'!$A$55:$F$346,2,0),IFERROR(VLOOKUP($I356,'Privacy Analyst Evaluation'!$A$46:$F$120,2,0),""))</f>
        <v/>
      </c>
      <c r="K356" s="210" t="str">
        <f>IFERROR(VLOOKUP($I356,'Institution Evaluation'!$A$55:$F$346,3,0),IFERROR(VLOOKUP($I356,'Privacy Analyst Evaluation'!$A$46:$F$120,3,0),""))&amp;""</f>
        <v/>
      </c>
      <c r="L356" s="210" t="str">
        <f>IFERROR(VLOOKUP($I356,'Institution Evaluation'!$A$55:$F$346,4,0),IFERROR(VLOOKUP($I356,'Privacy Analyst Evaluation'!$A$46:$F$120,4,0),""))&amp;""</f>
        <v/>
      </c>
      <c r="M356" s="210"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2">
      <c r="A357" s="210" t="str">
        <f>IFERROR(IF($A356+1&gt;'(backend scoring)'!$T$335,"",$A356+1),"")</f>
        <v/>
      </c>
      <c r="B357" s="210" t="str">
        <f>_xlfn.XLOOKUP($A357,'(backend scoring)'!$V$2:$V$333,'(backend scoring)'!$A$2:$A$333,"")</f>
        <v/>
      </c>
      <c r="C357" s="210" t="str">
        <f>IFERROR(VLOOKUP($B357,'Institution Evaluation'!$A$55:$F$346,2,0),IFERROR(VLOOKUP($B357,'Privacy Analyst Evaluation'!$A$46:$F$120,2,0),""))&amp;""</f>
        <v/>
      </c>
      <c r="D357" s="210" t="str">
        <f>IFERROR(VLOOKUP($B357,'Institution Evaluation'!$A$55:$F$346,3,0),IFERROR(VLOOKUP($B357,'Privacy Analyst Evaluation'!$A$46:$F$120,3,0),""))&amp;""</f>
        <v/>
      </c>
      <c r="E357" s="210" t="str">
        <f>IFERROR(VLOOKUP($B357,'Institution Evaluation'!$A$55:$F$346,4,0),IFERROR(VLOOKUP($B357,'Privacy Analyst Evaluation'!$A$46:$F$120,4,0),""))&amp;""</f>
        <v/>
      </c>
      <c r="F357" s="210" t="str">
        <f>IFERROR(VLOOKUP($B357,'Institution Evaluation'!$A$55:$F$346,6,0),IFERROR(VLOOKUP($B357,'Privacy Analyst Evaluation'!$A$46:$F$120,6,0),""))&amp;""</f>
        <v/>
      </c>
      <c r="G357" s="211"/>
      <c r="H357" s="210" t="str">
        <f>IFERROR(IF($H356+1&gt;'(backend scoring)'!$Q$335,"",$H356+1),"")</f>
        <v/>
      </c>
      <c r="I357" s="210" t="str">
        <f>_xlfn.XLOOKUP($H357,'(backend scoring)'!$S$2:$S$333,'(backend scoring)'!$A$2:$A$333,"")</f>
        <v/>
      </c>
      <c r="J357" s="210" t="str">
        <f>IFERROR(VLOOKUP($I357,'Institution Evaluation'!$A$55:$F$346,2,0),IFERROR(VLOOKUP($I357,'Privacy Analyst Evaluation'!$A$46:$F$120,2,0),""))</f>
        <v/>
      </c>
      <c r="K357" s="210" t="str">
        <f>IFERROR(VLOOKUP($I357,'Institution Evaluation'!$A$55:$F$346,3,0),IFERROR(VLOOKUP($I357,'Privacy Analyst Evaluation'!$A$46:$F$120,3,0),""))&amp;""</f>
        <v/>
      </c>
      <c r="L357" s="210" t="str">
        <f>IFERROR(VLOOKUP($I357,'Institution Evaluation'!$A$55:$F$346,4,0),IFERROR(VLOOKUP($I357,'Privacy Analyst Evaluation'!$A$46:$F$120,4,0),""))&amp;""</f>
        <v/>
      </c>
      <c r="M357" s="210"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2">
      <c r="A358" s="210" t="str">
        <f>IFERROR(IF($A357+1&gt;'(backend scoring)'!$T$335,"",$A357+1),"")</f>
        <v/>
      </c>
      <c r="B358" s="210" t="str">
        <f>_xlfn.XLOOKUP($A358,'(backend scoring)'!$V$2:$V$333,'(backend scoring)'!$A$2:$A$333,"")</f>
        <v/>
      </c>
      <c r="C358" s="210" t="str">
        <f>IFERROR(VLOOKUP($B358,'Institution Evaluation'!$A$55:$F$346,2,0),IFERROR(VLOOKUP($B358,'Privacy Analyst Evaluation'!$A$46:$F$120,2,0),""))&amp;""</f>
        <v/>
      </c>
      <c r="D358" s="210" t="str">
        <f>IFERROR(VLOOKUP($B358,'Institution Evaluation'!$A$55:$F$346,3,0),IFERROR(VLOOKUP($B358,'Privacy Analyst Evaluation'!$A$46:$F$120,3,0),""))&amp;""</f>
        <v/>
      </c>
      <c r="E358" s="210" t="str">
        <f>IFERROR(VLOOKUP($B358,'Institution Evaluation'!$A$55:$F$346,4,0),IFERROR(VLOOKUP($B358,'Privacy Analyst Evaluation'!$A$46:$F$120,4,0),""))&amp;""</f>
        <v/>
      </c>
      <c r="F358" s="210" t="str">
        <f>IFERROR(VLOOKUP($B358,'Institution Evaluation'!$A$55:$F$346,6,0),IFERROR(VLOOKUP($B358,'Privacy Analyst Evaluation'!$A$46:$F$120,6,0),""))&amp;""</f>
        <v/>
      </c>
      <c r="G358" s="211"/>
      <c r="H358" s="210" t="str">
        <f>IFERROR(IF($H357+1&gt;'(backend scoring)'!$Q$335,"",$H357+1),"")</f>
        <v/>
      </c>
      <c r="I358" s="210" t="str">
        <f>_xlfn.XLOOKUP($H358,'(backend scoring)'!$S$2:$S$333,'(backend scoring)'!$A$2:$A$333,"")</f>
        <v/>
      </c>
      <c r="J358" s="210" t="str">
        <f>IFERROR(VLOOKUP($I358,'Institution Evaluation'!$A$55:$F$346,2,0),IFERROR(VLOOKUP($I358,'Privacy Analyst Evaluation'!$A$46:$F$120,2,0),""))</f>
        <v/>
      </c>
      <c r="K358" s="210" t="str">
        <f>IFERROR(VLOOKUP($I358,'Institution Evaluation'!$A$55:$F$346,3,0),IFERROR(VLOOKUP($I358,'Privacy Analyst Evaluation'!$A$46:$F$120,3,0),""))&amp;""</f>
        <v/>
      </c>
      <c r="L358" s="210" t="str">
        <f>IFERROR(VLOOKUP($I358,'Institution Evaluation'!$A$55:$F$346,4,0),IFERROR(VLOOKUP($I358,'Privacy Analyst Evaluation'!$A$46:$F$120,4,0),""))&amp;""</f>
        <v/>
      </c>
      <c r="M358" s="210"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2">
      <c r="A359" s="210" t="str">
        <f>IFERROR(IF($A358+1&gt;'(backend scoring)'!$T$335,"",$A358+1),"")</f>
        <v/>
      </c>
      <c r="B359" s="210" t="str">
        <f>_xlfn.XLOOKUP($A359,'(backend scoring)'!$V$2:$V$333,'(backend scoring)'!$A$2:$A$333,"")</f>
        <v/>
      </c>
      <c r="C359" s="210" t="str">
        <f>IFERROR(VLOOKUP($B359,'Institution Evaluation'!$A$55:$F$346,2,0),IFERROR(VLOOKUP($B359,'Privacy Analyst Evaluation'!$A$46:$F$120,2,0),""))&amp;""</f>
        <v/>
      </c>
      <c r="D359" s="210" t="str">
        <f>IFERROR(VLOOKUP($B359,'Institution Evaluation'!$A$55:$F$346,3,0),IFERROR(VLOOKUP($B359,'Privacy Analyst Evaluation'!$A$46:$F$120,3,0),""))&amp;""</f>
        <v/>
      </c>
      <c r="E359" s="210" t="str">
        <f>IFERROR(VLOOKUP($B359,'Institution Evaluation'!$A$55:$F$346,4,0),IFERROR(VLOOKUP($B359,'Privacy Analyst Evaluation'!$A$46:$F$120,4,0),""))&amp;""</f>
        <v/>
      </c>
      <c r="F359" s="210" t="str">
        <f>IFERROR(VLOOKUP($B359,'Institution Evaluation'!$A$55:$F$346,6,0),IFERROR(VLOOKUP($B359,'Privacy Analyst Evaluation'!$A$46:$F$120,6,0),""))&amp;""</f>
        <v/>
      </c>
      <c r="G359" s="211"/>
      <c r="H359" s="210" t="str">
        <f>IFERROR(IF($H358+1&gt;'(backend scoring)'!$Q$335,"",$H358+1),"")</f>
        <v/>
      </c>
      <c r="I359" s="210" t="str">
        <f>_xlfn.XLOOKUP($H359,'(backend scoring)'!$S$2:$S$333,'(backend scoring)'!$A$2:$A$333,"")</f>
        <v/>
      </c>
      <c r="J359" s="210" t="str">
        <f>IFERROR(VLOOKUP($I359,'Institution Evaluation'!$A$55:$F$346,2,0),IFERROR(VLOOKUP($I359,'Privacy Analyst Evaluation'!$A$46:$F$120,2,0),""))</f>
        <v/>
      </c>
      <c r="K359" s="210" t="str">
        <f>IFERROR(VLOOKUP($I359,'Institution Evaluation'!$A$55:$F$346,3,0),IFERROR(VLOOKUP($I359,'Privacy Analyst Evaluation'!$A$46:$F$120,3,0),""))&amp;""</f>
        <v/>
      </c>
      <c r="L359" s="210" t="str">
        <f>IFERROR(VLOOKUP($I359,'Institution Evaluation'!$A$55:$F$346,4,0),IFERROR(VLOOKUP($I359,'Privacy Analyst Evaluation'!$A$46:$F$120,4,0),""))&amp;""</f>
        <v/>
      </c>
      <c r="M359" s="210" t="str">
        <f>IFERROR(VLOOKUP($I359,'Institution Evaluation'!$A$55:$F$346,6,0),IFERROR(VLOOKUP($I359,'Privacy Analyst Evaluation'!$A$46:$F$120,6,0),""))&amp;""</f>
        <v/>
      </c>
    </row>
    <row r="360" spans="1:338" x14ac:dyDescent="0.2">
      <c r="A360" s="210" t="str">
        <f>IFERROR(IF($A359+1&gt;'(backend scoring)'!$T$335,"",$A359+1),"")</f>
        <v/>
      </c>
      <c r="B360" s="210" t="str">
        <f>_xlfn.XLOOKUP($A360,'(backend scoring)'!$V$2:$V$333,'(backend scoring)'!$A$2:$A$333,"")</f>
        <v/>
      </c>
      <c r="C360" s="210" t="str">
        <f>IFERROR(VLOOKUP($B360,'Institution Evaluation'!$A$55:$F$346,2,0),IFERROR(VLOOKUP($B360,'Privacy Analyst Evaluation'!$A$46:$F$120,2,0),""))&amp;""</f>
        <v/>
      </c>
      <c r="D360" s="210" t="str">
        <f>IFERROR(VLOOKUP($B360,'Institution Evaluation'!$A$55:$F$346,3,0),IFERROR(VLOOKUP($B360,'Privacy Analyst Evaluation'!$A$46:$F$120,3,0),""))&amp;""</f>
        <v/>
      </c>
      <c r="E360" s="210" t="str">
        <f>IFERROR(VLOOKUP($B360,'Institution Evaluation'!$A$55:$F$346,4,0),IFERROR(VLOOKUP($B360,'Privacy Analyst Evaluation'!$A$46:$F$120,4,0),""))&amp;""</f>
        <v/>
      </c>
      <c r="F360" s="210" t="str">
        <f>IFERROR(VLOOKUP($B360,'Institution Evaluation'!$A$55:$F$346,6,0),IFERROR(VLOOKUP($B360,'Privacy Analyst Evaluation'!$A$46:$F$120,6,0),""))&amp;""</f>
        <v/>
      </c>
      <c r="G360" s="211"/>
      <c r="H360" s="210" t="str">
        <f>IFERROR(IF($H359+1&gt;'(backend scoring)'!$Q$335,"",$H359+1),"")</f>
        <v/>
      </c>
      <c r="I360" s="210" t="str">
        <f>_xlfn.XLOOKUP($H360,'(backend scoring)'!$S$2:$S$333,'(backend scoring)'!$A$2:$A$333,"")</f>
        <v/>
      </c>
      <c r="J360" s="210" t="str">
        <f>IFERROR(VLOOKUP($I360,'Institution Evaluation'!$A$55:$F$346,2,0),IFERROR(VLOOKUP($I360,'Privacy Analyst Evaluation'!$A$46:$F$120,2,0),""))</f>
        <v/>
      </c>
      <c r="K360" s="210" t="str">
        <f>IFERROR(VLOOKUP($I360,'Institution Evaluation'!$A$55:$F$346,3,0),IFERROR(VLOOKUP($I360,'Privacy Analyst Evaluation'!$A$46:$F$120,3,0),""))&amp;""</f>
        <v/>
      </c>
      <c r="L360" s="210" t="str">
        <f>IFERROR(VLOOKUP($I360,'Institution Evaluation'!$A$55:$F$346,4,0),IFERROR(VLOOKUP($I360,'Privacy Analyst Evaluation'!$A$46:$F$120,4,0),""))&amp;""</f>
        <v/>
      </c>
      <c r="M360" s="210" t="str">
        <f>IFERROR(VLOOKUP($I360,'Institution Evaluation'!$A$55:$F$346,6,0),IFERROR(VLOOKUP($I360,'Privacy Analyst Evaluation'!$A$46:$F$120,6,0),""))&amp;""</f>
        <v/>
      </c>
    </row>
    <row r="361" spans="1:338" x14ac:dyDescent="0.2">
      <c r="A361" s="210" t="str">
        <f>IFERROR(IF($A360+1&gt;'(backend scoring)'!$T$335,"",$A360+1),"")</f>
        <v/>
      </c>
      <c r="B361" s="210" t="str">
        <f>_xlfn.XLOOKUP($A361,'(backend scoring)'!$V$2:$V$333,'(backend scoring)'!$A$2:$A$333,"")</f>
        <v/>
      </c>
      <c r="C361" s="210" t="str">
        <f>IFERROR(VLOOKUP($B361,'Institution Evaluation'!$A$55:$F$346,2,0),IFERROR(VLOOKUP($B361,'Privacy Analyst Evaluation'!$A$46:$F$120,2,0),""))&amp;""</f>
        <v/>
      </c>
      <c r="D361" s="210" t="str">
        <f>IFERROR(VLOOKUP($B361,'Institution Evaluation'!$A$55:$F$346,3,0),IFERROR(VLOOKUP($B361,'Privacy Analyst Evaluation'!$A$46:$F$120,3,0),""))&amp;""</f>
        <v/>
      </c>
      <c r="E361" s="210" t="str">
        <f>IFERROR(VLOOKUP($B361,'Institution Evaluation'!$A$55:$F$346,4,0),IFERROR(VLOOKUP($B361,'Privacy Analyst Evaluation'!$A$46:$F$120,4,0),""))&amp;""</f>
        <v/>
      </c>
      <c r="F361" s="210" t="str">
        <f>IFERROR(VLOOKUP($B361,'Institution Evaluation'!$A$55:$F$346,6,0),IFERROR(VLOOKUP($B361,'Privacy Analyst Evaluation'!$A$46:$F$120,6,0),""))&amp;""</f>
        <v/>
      </c>
      <c r="G361" s="211"/>
      <c r="H361" s="210" t="str">
        <f>IFERROR(IF($H360+1&gt;'(backend scoring)'!$Q$335,"",$H360+1),"")</f>
        <v/>
      </c>
      <c r="I361" s="210" t="str">
        <f>_xlfn.XLOOKUP($H361,'(backend scoring)'!$S$2:$S$333,'(backend scoring)'!$A$2:$A$333,"")</f>
        <v/>
      </c>
      <c r="J361" s="210" t="str">
        <f>IFERROR(VLOOKUP($I361,'Institution Evaluation'!$A$55:$F$346,2,0),IFERROR(VLOOKUP($I361,'Privacy Analyst Evaluation'!$A$46:$F$120,2,0),""))</f>
        <v/>
      </c>
      <c r="K361" s="210" t="str">
        <f>IFERROR(VLOOKUP($I361,'Institution Evaluation'!$A$55:$F$346,3,0),IFERROR(VLOOKUP($I361,'Privacy Analyst Evaluation'!$A$46:$F$120,3,0),""))&amp;""</f>
        <v/>
      </c>
      <c r="L361" s="210" t="str">
        <f>IFERROR(VLOOKUP($I361,'Institution Evaluation'!$A$55:$F$346,4,0),IFERROR(VLOOKUP($I361,'Privacy Analyst Evaluation'!$A$46:$F$120,4,0),""))&amp;""</f>
        <v/>
      </c>
      <c r="M361" s="210" t="str">
        <f>IFERROR(VLOOKUP($I361,'Institution Evaluation'!$A$55:$F$346,6,0),IFERROR(VLOOKUP($I361,'Privacy Analyst Evaluation'!$A$46:$F$120,6,0),""))&amp;""</f>
        <v/>
      </c>
    </row>
    <row r="362" spans="1:338" x14ac:dyDescent="0.2">
      <c r="A362" s="210" t="str">
        <f>IFERROR(IF($A361+1&gt;'(backend scoring)'!$T$335,"",$A361+1),"")</f>
        <v/>
      </c>
      <c r="B362" s="210" t="str">
        <f>_xlfn.XLOOKUP($A362,'(backend scoring)'!$V$2:$V$333,'(backend scoring)'!$A$2:$A$333,"")</f>
        <v/>
      </c>
      <c r="C362" s="210" t="str">
        <f>IFERROR(VLOOKUP($B362,'Institution Evaluation'!$A$55:$F$346,2,0),IFERROR(VLOOKUP($B362,'Privacy Analyst Evaluation'!$A$46:$F$120,2,0),""))&amp;""</f>
        <v/>
      </c>
      <c r="D362" s="210" t="str">
        <f>IFERROR(VLOOKUP($B362,'Institution Evaluation'!$A$55:$F$346,3,0),IFERROR(VLOOKUP($B362,'Privacy Analyst Evaluation'!$A$46:$F$120,3,0),""))&amp;""</f>
        <v/>
      </c>
      <c r="E362" s="210" t="str">
        <f>IFERROR(VLOOKUP($B362,'Institution Evaluation'!$A$55:$F$346,4,0),IFERROR(VLOOKUP($B362,'Privacy Analyst Evaluation'!$A$46:$F$120,4,0),""))&amp;""</f>
        <v/>
      </c>
      <c r="F362" s="210" t="str">
        <f>IFERROR(VLOOKUP($B362,'Institution Evaluation'!$A$55:$F$346,6,0),IFERROR(VLOOKUP($B362,'Privacy Analyst Evaluation'!$A$46:$F$120,6,0),""))&amp;""</f>
        <v/>
      </c>
      <c r="G362" s="211"/>
      <c r="H362" s="210" t="str">
        <f>IFERROR(IF($H361+1&gt;'(backend scoring)'!$Q$335,"",$H361+1),"")</f>
        <v/>
      </c>
      <c r="I362" s="210" t="str">
        <f>_xlfn.XLOOKUP($H362,'(backend scoring)'!$S$2:$S$333,'(backend scoring)'!$A$2:$A$333,"")</f>
        <v/>
      </c>
      <c r="J362" s="210" t="str">
        <f>IFERROR(VLOOKUP($I362,'Institution Evaluation'!$A$55:$F$346,2,0),IFERROR(VLOOKUP($I362,'Privacy Analyst Evaluation'!$A$46:$F$120,2,0),""))</f>
        <v/>
      </c>
      <c r="K362" s="210" t="str">
        <f>IFERROR(VLOOKUP($I362,'Institution Evaluation'!$A$55:$F$346,3,0),IFERROR(VLOOKUP($I362,'Privacy Analyst Evaluation'!$A$46:$F$120,3,0),""))&amp;""</f>
        <v/>
      </c>
      <c r="L362" s="210" t="str">
        <f>IFERROR(VLOOKUP($I362,'Institution Evaluation'!$A$55:$F$346,4,0),IFERROR(VLOOKUP($I362,'Privacy Analyst Evaluation'!$A$46:$F$120,4,0),""))&amp;""</f>
        <v/>
      </c>
      <c r="M362" s="210" t="str">
        <f>IFERROR(VLOOKUP($I362,'Institution Evaluation'!$A$55:$F$346,6,0),IFERROR(VLOOKUP($I362,'Privacy Analyst Evaluation'!$A$46:$F$120,6,0),""))&amp;""</f>
        <v/>
      </c>
    </row>
    <row r="363" spans="1:338" x14ac:dyDescent="0.2">
      <c r="A363" s="210" t="str">
        <f>IFERROR(IF($A362+1&gt;'(backend scoring)'!$T$335,"",$A362+1),"")</f>
        <v/>
      </c>
      <c r="B363" s="210" t="str">
        <f>_xlfn.XLOOKUP($A363,'(backend scoring)'!$V$2:$V$333,'(backend scoring)'!$A$2:$A$333,"")</f>
        <v/>
      </c>
      <c r="C363" s="210" t="str">
        <f>IFERROR(VLOOKUP($B363,'Institution Evaluation'!$A$55:$F$346,2,0),IFERROR(VLOOKUP($B363,'Privacy Analyst Evaluation'!$A$46:$F$120,2,0),""))&amp;""</f>
        <v/>
      </c>
      <c r="D363" s="210" t="str">
        <f>IFERROR(VLOOKUP($B363,'Institution Evaluation'!$A$55:$F$346,3,0),IFERROR(VLOOKUP($B363,'Privacy Analyst Evaluation'!$A$46:$F$120,3,0),""))&amp;""</f>
        <v/>
      </c>
      <c r="E363" s="210" t="str">
        <f>IFERROR(VLOOKUP($B363,'Institution Evaluation'!$A$55:$F$346,4,0),IFERROR(VLOOKUP($B363,'Privacy Analyst Evaluation'!$A$46:$F$120,4,0),""))&amp;""</f>
        <v/>
      </c>
      <c r="F363" s="210" t="str">
        <f>IFERROR(VLOOKUP($B363,'Institution Evaluation'!$A$55:$F$346,6,0),IFERROR(VLOOKUP($B363,'Privacy Analyst Evaluation'!$A$46:$F$120,6,0),""))&amp;""</f>
        <v/>
      </c>
      <c r="G363" s="211"/>
      <c r="H363" s="210" t="str">
        <f>IFERROR(IF($H362+1&gt;'(backend scoring)'!$Q$335,"",$H362+1),"")</f>
        <v/>
      </c>
      <c r="I363" s="210" t="str">
        <f>_xlfn.XLOOKUP($H363,'(backend scoring)'!$S$2:$S$333,'(backend scoring)'!$A$2:$A$333,"")</f>
        <v/>
      </c>
      <c r="J363" s="210" t="str">
        <f>IFERROR(VLOOKUP($I363,'Institution Evaluation'!$A$55:$F$346,2,0),IFERROR(VLOOKUP($I363,'Privacy Analyst Evaluation'!$A$46:$F$120,2,0),""))</f>
        <v/>
      </c>
      <c r="K363" s="210" t="str">
        <f>IFERROR(VLOOKUP($I363,'Institution Evaluation'!$A$55:$F$346,3,0),IFERROR(VLOOKUP($I363,'Privacy Analyst Evaluation'!$A$46:$F$120,3,0),""))&amp;""</f>
        <v/>
      </c>
      <c r="L363" s="210" t="str">
        <f>IFERROR(VLOOKUP($I363,'Institution Evaluation'!$A$55:$F$346,4,0),IFERROR(VLOOKUP($I363,'Privacy Analyst Evaluation'!$A$46:$F$120,4,0),""))&amp;""</f>
        <v/>
      </c>
      <c r="M363" s="210" t="str">
        <f>IFERROR(VLOOKUP($I363,'Institution Evaluation'!$A$55:$F$346,6,0),IFERROR(VLOOKUP($I363,'Privacy Analyst Evaluation'!$A$46:$F$120,6,0),""))&amp;""</f>
        <v/>
      </c>
    </row>
    <row r="364" spans="1:338" x14ac:dyDescent="0.2">
      <c r="A364" s="210" t="str">
        <f>IFERROR(IF($A363+1&gt;'(backend scoring)'!$T$335,"",$A363+1),"")</f>
        <v/>
      </c>
      <c r="B364" s="210" t="str">
        <f>_xlfn.XLOOKUP($A364,'(backend scoring)'!$V$2:$V$333,'(backend scoring)'!$A$2:$A$333,"")</f>
        <v/>
      </c>
      <c r="C364" s="210" t="str">
        <f>IFERROR(VLOOKUP($B364,'Institution Evaluation'!$A$55:$F$346,2,0),IFERROR(VLOOKUP($B364,'Privacy Analyst Evaluation'!$A$46:$F$120,2,0),""))&amp;""</f>
        <v/>
      </c>
      <c r="D364" s="210" t="str">
        <f>IFERROR(VLOOKUP($B364,'Institution Evaluation'!$A$55:$F$346,3,0),IFERROR(VLOOKUP($B364,'Privacy Analyst Evaluation'!$A$46:$F$120,3,0),""))&amp;""</f>
        <v/>
      </c>
      <c r="E364" s="210" t="str">
        <f>IFERROR(VLOOKUP($B364,'Institution Evaluation'!$A$55:$F$346,4,0),IFERROR(VLOOKUP($B364,'Privacy Analyst Evaluation'!$A$46:$F$120,4,0),""))&amp;""</f>
        <v/>
      </c>
      <c r="F364" s="210" t="str">
        <f>IFERROR(VLOOKUP($B364,'Institution Evaluation'!$A$55:$F$346,6,0),IFERROR(VLOOKUP($B364,'Privacy Analyst Evaluation'!$A$46:$F$120,6,0),""))&amp;""</f>
        <v/>
      </c>
      <c r="G364" s="211"/>
      <c r="H364" s="210" t="str">
        <f>IFERROR(IF($H363+1&gt;'(backend scoring)'!$Q$335,"",$H363+1),"")</f>
        <v/>
      </c>
      <c r="I364" s="210" t="str">
        <f>_xlfn.XLOOKUP($H364,'(backend scoring)'!$S$2:$S$333,'(backend scoring)'!$A$2:$A$333,"")</f>
        <v/>
      </c>
      <c r="J364" s="210" t="str">
        <f>IFERROR(VLOOKUP($I364,'Institution Evaluation'!$A$55:$F$346,2,0),IFERROR(VLOOKUP($I364,'Privacy Analyst Evaluation'!$A$46:$F$120,2,0),""))</f>
        <v/>
      </c>
      <c r="K364" s="210" t="str">
        <f>IFERROR(VLOOKUP($I364,'Institution Evaluation'!$A$55:$F$346,3,0),IFERROR(VLOOKUP($I364,'Privacy Analyst Evaluation'!$A$46:$F$120,3,0),""))&amp;""</f>
        <v/>
      </c>
      <c r="L364" s="210" t="str">
        <f>IFERROR(VLOOKUP($I364,'Institution Evaluation'!$A$55:$F$346,4,0),IFERROR(VLOOKUP($I364,'Privacy Analyst Evaluation'!$A$46:$F$120,4,0),""))&amp;""</f>
        <v/>
      </c>
      <c r="M364" s="210" t="str">
        <f>IFERROR(VLOOKUP($I364,'Institution Evaluation'!$A$55:$F$346,6,0),IFERROR(VLOOKUP($I364,'Privacy Analyst Evaluation'!$A$46:$F$120,6,0),""))&amp;""</f>
        <v/>
      </c>
    </row>
    <row r="365" spans="1:338" x14ac:dyDescent="0.2">
      <c r="A365" s="210" t="str">
        <f>IFERROR(IF($A364+1&gt;'(backend scoring)'!$T$335,"",$A364+1),"")</f>
        <v/>
      </c>
      <c r="B365" s="210" t="str">
        <f>_xlfn.XLOOKUP($A365,'(backend scoring)'!$V$2:$V$333,'(backend scoring)'!$A$2:$A$333,"")</f>
        <v/>
      </c>
      <c r="C365" s="210" t="str">
        <f>IFERROR(VLOOKUP($B365,'Institution Evaluation'!$A$55:$F$346,2,0),IFERROR(VLOOKUP($B365,'Privacy Analyst Evaluation'!$A$46:$F$120,2,0),""))&amp;""</f>
        <v/>
      </c>
      <c r="D365" s="210" t="str">
        <f>IFERROR(VLOOKUP($B365,'Institution Evaluation'!$A$55:$F$346,3,0),IFERROR(VLOOKUP($B365,'Privacy Analyst Evaluation'!$A$46:$F$120,3,0),""))&amp;""</f>
        <v/>
      </c>
      <c r="E365" s="210" t="str">
        <f>IFERROR(VLOOKUP($B365,'Institution Evaluation'!$A$55:$F$346,4,0),IFERROR(VLOOKUP($B365,'Privacy Analyst Evaluation'!$A$46:$F$120,4,0),""))&amp;""</f>
        <v/>
      </c>
      <c r="F365" s="210" t="str">
        <f>IFERROR(VLOOKUP($B365,'Institution Evaluation'!$A$55:$F$346,6,0),IFERROR(VLOOKUP($B365,'Privacy Analyst Evaluation'!$A$46:$F$120,6,0),""))&amp;""</f>
        <v/>
      </c>
      <c r="G365" s="211"/>
      <c r="H365" s="210" t="str">
        <f>IFERROR(IF($H364+1&gt;'(backend scoring)'!$Q$335,"",$H364+1),"")</f>
        <v/>
      </c>
      <c r="I365" s="210" t="str">
        <f>_xlfn.XLOOKUP($H365,'(backend scoring)'!$S$2:$S$333,'(backend scoring)'!$A$2:$A$333,"")</f>
        <v/>
      </c>
      <c r="J365" s="210" t="str">
        <f>IFERROR(VLOOKUP($I365,'Institution Evaluation'!$A$55:$F$346,2,0),IFERROR(VLOOKUP($I365,'Privacy Analyst Evaluation'!$A$46:$F$120,2,0),""))</f>
        <v/>
      </c>
      <c r="K365" s="210" t="str">
        <f>IFERROR(VLOOKUP($I365,'Institution Evaluation'!$A$55:$F$346,3,0),IFERROR(VLOOKUP($I365,'Privacy Analyst Evaluation'!$A$46:$F$120,3,0),""))&amp;""</f>
        <v/>
      </c>
      <c r="L365" s="210" t="str">
        <f>IFERROR(VLOOKUP($I365,'Institution Evaluation'!$A$55:$F$346,4,0),IFERROR(VLOOKUP($I365,'Privacy Analyst Evaluation'!$A$46:$F$120,4,0),""))&amp;""</f>
        <v/>
      </c>
      <c r="M365" s="210" t="str">
        <f>IFERROR(VLOOKUP($I365,'Institution Evaluation'!$A$55:$F$346,6,0),IFERROR(VLOOKUP($I365,'Privacy Analyst Evaluation'!$A$46:$F$120,6,0),""))&amp;""</f>
        <v/>
      </c>
    </row>
    <row r="366" spans="1:338" x14ac:dyDescent="0.2">
      <c r="A366" s="210" t="str">
        <f>IFERROR(IF($A365+1&gt;'(backend scoring)'!$T$335,"",$A365+1),"")</f>
        <v/>
      </c>
      <c r="B366" s="210" t="str">
        <f>_xlfn.XLOOKUP($A366,'(backend scoring)'!$V$2:$V$333,'(backend scoring)'!$A$2:$A$333,"")</f>
        <v/>
      </c>
      <c r="C366" s="210" t="str">
        <f>IFERROR(VLOOKUP($B366,'Institution Evaluation'!$A$55:$F$346,2,0),IFERROR(VLOOKUP($B366,'Privacy Analyst Evaluation'!$A$46:$F$120,2,0),""))&amp;""</f>
        <v/>
      </c>
      <c r="D366" s="210" t="str">
        <f>IFERROR(VLOOKUP($B366,'Institution Evaluation'!$A$55:$F$346,3,0),IFERROR(VLOOKUP($B366,'Privacy Analyst Evaluation'!$A$46:$F$120,3,0),""))&amp;""</f>
        <v/>
      </c>
      <c r="E366" s="210" t="str">
        <f>IFERROR(VLOOKUP($B366,'Institution Evaluation'!$A$55:$F$346,4,0),IFERROR(VLOOKUP($B366,'Privacy Analyst Evaluation'!$A$46:$F$120,4,0),""))&amp;""</f>
        <v/>
      </c>
      <c r="F366" s="210" t="str">
        <f>IFERROR(VLOOKUP($B366,'Institution Evaluation'!$A$55:$F$346,6,0),IFERROR(VLOOKUP($B366,'Privacy Analyst Evaluation'!$A$46:$F$120,6,0),""))&amp;""</f>
        <v/>
      </c>
      <c r="G366" s="211"/>
      <c r="H366" s="210" t="str">
        <f>IFERROR(IF($H365+1&gt;'(backend scoring)'!$Q$335,"",$H365+1),"")</f>
        <v/>
      </c>
      <c r="I366" s="210" t="str">
        <f>_xlfn.XLOOKUP($H366,'(backend scoring)'!$S$2:$S$333,'(backend scoring)'!$A$2:$A$333,"")</f>
        <v/>
      </c>
      <c r="J366" s="210" t="str">
        <f>IFERROR(VLOOKUP($I366,'Institution Evaluation'!$A$55:$F$346,2,0),IFERROR(VLOOKUP($I366,'Privacy Analyst Evaluation'!$A$46:$F$120,2,0),""))</f>
        <v/>
      </c>
      <c r="K366" s="210" t="str">
        <f>IFERROR(VLOOKUP($I366,'Institution Evaluation'!$A$55:$F$346,3,0),IFERROR(VLOOKUP($I366,'Privacy Analyst Evaluation'!$A$46:$F$120,3,0),""))&amp;""</f>
        <v/>
      </c>
      <c r="L366" s="210" t="str">
        <f>IFERROR(VLOOKUP($I366,'Institution Evaluation'!$A$55:$F$346,4,0),IFERROR(VLOOKUP($I366,'Privacy Analyst Evaluation'!$A$46:$F$120,4,0),""))&amp;""</f>
        <v/>
      </c>
      <c r="M366" s="210" t="str">
        <f>IFERROR(VLOOKUP($I366,'Institution Evaluation'!$A$55:$F$346,6,0),IFERROR(VLOOKUP($I366,'Privacy Analyst Evaluation'!$A$46:$F$120,6,0),""))&amp;""</f>
        <v/>
      </c>
    </row>
    <row r="367" spans="1:338" x14ac:dyDescent="0.2">
      <c r="A367" s="210" t="str">
        <f>IFERROR(IF($A366+1&gt;'(backend scoring)'!$T$335,"",$A366+1),"")</f>
        <v/>
      </c>
      <c r="B367" s="210" t="str">
        <f>_xlfn.XLOOKUP($A367,'(backend scoring)'!$V$2:$V$333,'(backend scoring)'!$A$2:$A$333,"")</f>
        <v/>
      </c>
      <c r="C367" s="210" t="str">
        <f>IFERROR(VLOOKUP($B367,'Institution Evaluation'!$A$55:$F$346,2,0),IFERROR(VLOOKUP($B367,'Privacy Analyst Evaluation'!$A$46:$F$120,2,0),""))&amp;""</f>
        <v/>
      </c>
      <c r="D367" s="210" t="str">
        <f>IFERROR(VLOOKUP($B367,'Institution Evaluation'!$A$55:$F$346,3,0),IFERROR(VLOOKUP($B367,'Privacy Analyst Evaluation'!$A$46:$F$120,3,0),""))&amp;""</f>
        <v/>
      </c>
      <c r="E367" s="210" t="str">
        <f>IFERROR(VLOOKUP($B367,'Institution Evaluation'!$A$55:$F$346,4,0),IFERROR(VLOOKUP($B367,'Privacy Analyst Evaluation'!$A$46:$F$120,4,0),""))&amp;""</f>
        <v/>
      </c>
      <c r="F367" s="210" t="str">
        <f>IFERROR(VLOOKUP($B367,'Institution Evaluation'!$A$55:$F$346,6,0),IFERROR(VLOOKUP($B367,'Privacy Analyst Evaluation'!$A$46:$F$120,6,0),""))&amp;""</f>
        <v/>
      </c>
      <c r="G367" s="211"/>
      <c r="H367" s="210" t="str">
        <f>IFERROR(IF($H366+1&gt;'(backend scoring)'!$Q$335,"",$H366+1),"")</f>
        <v/>
      </c>
      <c r="I367" s="210" t="str">
        <f>_xlfn.XLOOKUP($H367,'(backend scoring)'!$S$2:$S$333,'(backend scoring)'!$A$2:$A$333,"")</f>
        <v/>
      </c>
      <c r="J367" s="210" t="str">
        <f>IFERROR(VLOOKUP($I367,'Institution Evaluation'!$A$55:$F$346,2,0),IFERROR(VLOOKUP($I367,'Privacy Analyst Evaluation'!$A$46:$F$120,2,0),""))</f>
        <v/>
      </c>
      <c r="K367" s="210" t="str">
        <f>IFERROR(VLOOKUP($I367,'Institution Evaluation'!$A$55:$F$346,3,0),IFERROR(VLOOKUP($I367,'Privacy Analyst Evaluation'!$A$46:$F$120,3,0),""))&amp;""</f>
        <v/>
      </c>
      <c r="L367" s="210" t="str">
        <f>IFERROR(VLOOKUP($I367,'Institution Evaluation'!$A$55:$F$346,4,0),IFERROR(VLOOKUP($I367,'Privacy Analyst Evaluation'!$A$46:$F$120,4,0),""))&amp;""</f>
        <v/>
      </c>
      <c r="M367" s="210" t="str">
        <f>IFERROR(VLOOKUP($I367,'Institution Evaluation'!$A$55:$F$346,6,0),IFERROR(VLOOKUP($I367,'Privacy Analyst Evaluation'!$A$46:$F$120,6,0),""))&amp;""</f>
        <v/>
      </c>
    </row>
    <row r="368" spans="1:338" x14ac:dyDescent="0.2">
      <c r="A368" s="210" t="str">
        <f>IFERROR(IF($A367+1&gt;'(backend scoring)'!$T$335,"",$A367+1),"")</f>
        <v/>
      </c>
      <c r="B368" s="210" t="str">
        <f>_xlfn.XLOOKUP($A368,'(backend scoring)'!$V$2:$V$333,'(backend scoring)'!$A$2:$A$333,"")</f>
        <v/>
      </c>
      <c r="C368" s="210" t="str">
        <f>IFERROR(VLOOKUP($B368,'Institution Evaluation'!$A$55:$F$346,2,0),IFERROR(VLOOKUP($B368,'Privacy Analyst Evaluation'!$A$46:$F$120,2,0),""))&amp;""</f>
        <v/>
      </c>
      <c r="D368" s="210" t="str">
        <f>IFERROR(VLOOKUP($B368,'Institution Evaluation'!$A$55:$F$346,3,0),IFERROR(VLOOKUP($B368,'Privacy Analyst Evaluation'!$A$46:$F$120,3,0),""))&amp;""</f>
        <v/>
      </c>
      <c r="E368" s="210" t="str">
        <f>IFERROR(VLOOKUP($B368,'Institution Evaluation'!$A$55:$F$346,4,0),IFERROR(VLOOKUP($B368,'Privacy Analyst Evaluation'!$A$46:$F$120,4,0),""))&amp;""</f>
        <v/>
      </c>
      <c r="F368" s="210" t="str">
        <f>IFERROR(VLOOKUP($B368,'Institution Evaluation'!$A$55:$F$346,6,0),IFERROR(VLOOKUP($B368,'Privacy Analyst Evaluation'!$A$46:$F$120,6,0),""))&amp;""</f>
        <v/>
      </c>
      <c r="G368" s="211"/>
      <c r="H368" s="210" t="str">
        <f>IFERROR(IF($H367+1&gt;'(backend scoring)'!$Q$335,"",$H367+1),"")</f>
        <v/>
      </c>
      <c r="I368" s="210" t="str">
        <f>_xlfn.XLOOKUP($H368,'(backend scoring)'!$S$2:$S$333,'(backend scoring)'!$A$2:$A$333,"")</f>
        <v/>
      </c>
      <c r="J368" s="210" t="str">
        <f>IFERROR(VLOOKUP($I368,'Institution Evaluation'!$A$55:$F$346,2,0),IFERROR(VLOOKUP($I368,'Privacy Analyst Evaluation'!$A$46:$F$120,2,0),""))</f>
        <v/>
      </c>
      <c r="K368" s="210" t="str">
        <f>IFERROR(VLOOKUP($I368,'Institution Evaluation'!$A$55:$F$346,3,0),IFERROR(VLOOKUP($I368,'Privacy Analyst Evaluation'!$A$46:$F$120,3,0),""))&amp;""</f>
        <v/>
      </c>
      <c r="L368" s="210" t="str">
        <f>IFERROR(VLOOKUP($I368,'Institution Evaluation'!$A$55:$F$346,4,0),IFERROR(VLOOKUP($I368,'Privacy Analyst Evaluation'!$A$46:$F$120,4,0),""))&amp;""</f>
        <v/>
      </c>
      <c r="M368" s="210" t="str">
        <f>IFERROR(VLOOKUP($I368,'Institution Evaluation'!$A$55:$F$346,6,0),IFERROR(VLOOKUP($I368,'Privacy Analyst Evaluation'!$A$46:$F$120,6,0),""))&amp;""</f>
        <v/>
      </c>
      <c r="N368" s="239" t="s">
        <v>1505</v>
      </c>
    </row>
    <row r="369" spans="1:2" x14ac:dyDescent="0.2">
      <c r="A369" s="240" t="s">
        <v>1506</v>
      </c>
      <c r="B369" s="240" t="s">
        <v>1506</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row r="696" spans="1:2" x14ac:dyDescent="0.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6" customWidth="1"/>
    <col min="2" max="2" width="41.3984375" style="56" customWidth="1"/>
    <col min="3" max="9" width="19.59765625" style="56" customWidth="1"/>
    <col min="10" max="10" width="18.796875" style="56" customWidth="1"/>
    <col min="11" max="11" width="16.09765625" style="56" hidden="1" customWidth="1"/>
    <col min="12" max="12" width="8.5" style="56" customWidth="1"/>
    <col min="13" max="13" width="0" style="56" hidden="1" customWidth="1"/>
    <col min="14" max="16384" width="8.5" style="56" hidden="1"/>
  </cols>
  <sheetData>
    <row r="1" spans="1:10" ht="23.25" hidden="1" customHeight="1" x14ac:dyDescent="0.2">
      <c r="A1" s="56" t="s">
        <v>1508</v>
      </c>
    </row>
    <row r="2" spans="1:10" s="179" customFormat="1" ht="36" customHeight="1" x14ac:dyDescent="0.2">
      <c r="A2" s="177" t="s">
        <v>1536</v>
      </c>
      <c r="B2" s="177"/>
      <c r="C2" s="177"/>
      <c r="D2" s="177"/>
      <c r="E2" s="177"/>
      <c r="F2" s="177"/>
      <c r="G2" s="177"/>
      <c r="H2" s="177"/>
      <c r="I2" s="178" t="str">
        <f>'Auto Responses'!$A$36</f>
        <v>Version 4.1.2</v>
      </c>
      <c r="J2" s="178"/>
    </row>
    <row r="3" spans="1:10" ht="21" customHeight="1" x14ac:dyDescent="0.2">
      <c r="A3" s="99"/>
      <c r="B3" s="99"/>
      <c r="C3" s="99"/>
      <c r="D3" s="99"/>
      <c r="E3" s="99"/>
      <c r="F3" s="99"/>
      <c r="G3" s="99"/>
      <c r="H3" s="99"/>
      <c r="I3" s="99"/>
      <c r="J3" s="99"/>
    </row>
    <row r="4" spans="1:10" ht="36" customHeight="1" x14ac:dyDescent="0.2">
      <c r="A4" s="100" t="s">
        <v>901</v>
      </c>
      <c r="B4" s="101"/>
      <c r="C4" s="101"/>
      <c r="D4" s="101"/>
      <c r="E4" s="101"/>
      <c r="F4" s="101"/>
      <c r="G4" s="101"/>
      <c r="H4" s="101"/>
      <c r="I4" s="101"/>
      <c r="J4" s="101"/>
    </row>
    <row r="5" spans="1:10" s="272" customFormat="1" ht="19.5" customHeight="1" x14ac:dyDescent="0.2">
      <c r="A5" s="252" t="str">
        <f>HLOOKUP($A$4,'Auto Responses'!$F$2:$F$7,2,0)&amp;""</f>
        <v>1. Upon initial review, you can check the "Non-Negotiable" box by any question to compile a report of questions that may prohibit a full review.</v>
      </c>
      <c r="B5" s="252"/>
      <c r="C5" s="252"/>
      <c r="D5" s="252"/>
      <c r="E5" s="252"/>
      <c r="F5" s="252"/>
      <c r="G5" s="252"/>
      <c r="H5" s="252"/>
      <c r="I5" s="252"/>
      <c r="J5" s="252"/>
    </row>
    <row r="6" spans="1:10" s="272" customFormat="1" ht="19.5" customHeight="1" x14ac:dyDescent="0.2">
      <c r="A6" s="252" t="str">
        <f>HLOOKUP($A$4,'Auto Responses'!$F$2:$F$7,3,0)&amp;""</f>
        <v>2. When evaluating an answer, a default importance level has been set. You can use the "Importance Override" dropdown to override the default and adjust the value of the question.</v>
      </c>
      <c r="B6" s="252"/>
      <c r="C6" s="252"/>
      <c r="D6" s="252"/>
      <c r="E6" s="252"/>
      <c r="F6" s="252"/>
      <c r="G6" s="252"/>
      <c r="H6" s="252"/>
      <c r="I6" s="252"/>
      <c r="J6" s="252"/>
    </row>
    <row r="7" spans="1:10" s="272" customFormat="1" ht="19.5" customHeight="1" x14ac:dyDescent="0.2">
      <c r="A7" s="252" t="str">
        <f>HLOOKUP($A$4,'Auto Responses'!$F$2:$F$7,4,0)&amp;""</f>
        <v>3. For questions that are qualitative or for which you disagree with the preferred response, make a selection in the "Compliant Override" dropdown to adjust the question's impact on the score.</v>
      </c>
      <c r="B7" s="252"/>
      <c r="C7" s="252"/>
      <c r="D7" s="252"/>
      <c r="E7" s="252"/>
      <c r="F7" s="252"/>
      <c r="G7" s="252"/>
      <c r="H7" s="252"/>
      <c r="I7" s="252"/>
      <c r="J7" s="252"/>
    </row>
    <row r="8" spans="1:10" s="272" customFormat="1" ht="19.5" customHeight="1" x14ac:dyDescent="0.2">
      <c r="A8" s="252" t="str">
        <f>HLOOKUP($A$4,'Auto Responses'!$F$2:$F$7,5,0)&amp;""</f>
        <v xml:space="preserve">4. Each worksheet shows a report for that section. See the "Analyst Report" sheet for a full report of all sections. </v>
      </c>
      <c r="B8" s="252"/>
      <c r="C8" s="252"/>
      <c r="D8" s="252"/>
      <c r="E8" s="252"/>
      <c r="F8" s="252"/>
      <c r="G8" s="252"/>
      <c r="H8" s="252"/>
      <c r="I8" s="252"/>
      <c r="J8" s="252"/>
    </row>
    <row r="9" spans="1:10" s="272" customFormat="1" ht="19.5" customHeight="1" x14ac:dyDescent="0.2">
      <c r="A9" s="252" t="str">
        <f>HLOOKUP($A$4,'Auto Responses'!$F$2:$F$7,6,0)&amp;""</f>
        <v xml:space="preserve">5. If you are evaluating a question that appears in an earlier section, the Importance and Compliant Override cannot be changed but additional notes can be added. </v>
      </c>
      <c r="B9" s="252"/>
      <c r="C9" s="252"/>
      <c r="D9" s="252"/>
      <c r="E9" s="252"/>
      <c r="F9" s="252"/>
      <c r="G9" s="252"/>
      <c r="H9" s="252"/>
      <c r="I9" s="252"/>
      <c r="J9" s="252"/>
    </row>
    <row r="10" spans="1:10" ht="19.5" customHeight="1" thickBot="1" x14ac:dyDescent="0.25">
      <c r="A10" s="253" t="str">
        <f>HLOOKUP($A$4,'Auto Responses'!$F$2:$F$8,7,0)&amp;""</f>
        <v>For full instructions, please visit EDUCAUSE.edu/HECVAT</v>
      </c>
      <c r="B10" s="62"/>
      <c r="C10" s="62"/>
      <c r="D10" s="62"/>
      <c r="E10" s="62"/>
      <c r="F10" s="62"/>
      <c r="G10" s="62"/>
      <c r="H10" s="62"/>
      <c r="I10" s="62"/>
      <c r="J10" s="62"/>
    </row>
    <row r="11" spans="1:10" s="90" customFormat="1" ht="25.5" customHeight="1" x14ac:dyDescent="0.2">
      <c r="A11" s="157" t="str">
        <f>'START HERE'!$B$13</f>
        <v>Solution Provider Name</v>
      </c>
      <c r="B11" s="143"/>
      <c r="C11" s="137" t="str">
        <f>VLOOKUP($A11,'START HERE'!$B$13:$C$21,2,0)&amp;""</f>
        <v>Indiana University</v>
      </c>
      <c r="D11" s="138"/>
      <c r="E11" s="139"/>
      <c r="F11" s="91"/>
      <c r="G11" s="91"/>
      <c r="H11" s="96"/>
      <c r="I11" s="91"/>
      <c r="J11" s="91"/>
    </row>
    <row r="12" spans="1:10" s="90" customFormat="1" ht="25.5" customHeight="1" x14ac:dyDescent="0.2">
      <c r="A12" s="158" t="str">
        <f>'START HERE'!$B$16</f>
        <v>Solution Provider Contact Name</v>
      </c>
      <c r="B12" s="144"/>
      <c r="C12" s="136" t="str">
        <f>VLOOKUP($A12,'START HERE'!$B$13:$C$21,2,0)&amp;""</f>
        <v>James Cole</v>
      </c>
      <c r="D12" s="98"/>
      <c r="E12" s="140"/>
      <c r="F12" s="91"/>
      <c r="G12" s="91"/>
      <c r="H12" s="96"/>
      <c r="I12" s="91"/>
      <c r="J12" s="91"/>
    </row>
    <row r="13" spans="1:10" s="90" customFormat="1" ht="25.5" customHeight="1" x14ac:dyDescent="0.2">
      <c r="A13" s="158" t="str">
        <f>'START HERE'!$B$17</f>
        <v>Solution Provider Contact Title</v>
      </c>
      <c r="B13" s="144"/>
      <c r="C13" s="136" t="str">
        <f>VLOOKUP($A13,'START HERE'!$B$13:$C$21,2,0)&amp;""</f>
        <v>NSSE Shorts Coordinator</v>
      </c>
      <c r="D13" s="98"/>
      <c r="E13" s="140"/>
      <c r="F13" s="91"/>
      <c r="G13" s="91"/>
      <c r="H13" s="96"/>
      <c r="I13" s="91"/>
      <c r="J13" s="91"/>
    </row>
    <row r="14" spans="1:10" s="90" customFormat="1" ht="25.5" customHeight="1" x14ac:dyDescent="0.2">
      <c r="A14" s="158" t="str">
        <f>'START HERE'!$B$18</f>
        <v>Solution Provider Contact Email</v>
      </c>
      <c r="B14" s="144"/>
      <c r="C14" s="136" t="str">
        <f>VLOOKUP($A14,'START HERE'!$B$13:$C$21,2,0)&amp;""</f>
        <v>nsseshrt@iu.edu</v>
      </c>
      <c r="D14" s="98"/>
      <c r="E14" s="140"/>
      <c r="F14" s="134"/>
      <c r="G14" s="135"/>
      <c r="H14" s="135"/>
      <c r="I14" s="135"/>
      <c r="J14" s="135"/>
    </row>
    <row r="15" spans="1:10" s="90" customFormat="1" ht="25.5" customHeight="1" x14ac:dyDescent="0.2">
      <c r="A15" s="158" t="str">
        <f>'START HERE'!$B$14</f>
        <v>Solution Name</v>
      </c>
      <c r="B15" s="144"/>
      <c r="C15" s="136" t="str">
        <f>VLOOKUP($A15,'START HERE'!$B$13:$C$21,2,0)&amp;""</f>
        <v>NSSE Shorts</v>
      </c>
      <c r="D15" s="98"/>
      <c r="E15" s="140"/>
      <c r="F15" s="134"/>
      <c r="G15" s="135"/>
      <c r="H15" s="135"/>
      <c r="I15" s="135"/>
      <c r="J15" s="135"/>
    </row>
    <row r="16" spans="1:10" s="90" customFormat="1" ht="25.5" customHeight="1" x14ac:dyDescent="0.2">
      <c r="A16" s="158" t="str">
        <f>'START HERE'!$B$15</f>
        <v>Solution Description</v>
      </c>
      <c r="B16" s="144"/>
      <c r="C16" s="136" t="str">
        <f>VLOOKUP($A16,'START HERE'!$B$13:$C$21,2,0)&amp;""</f>
        <v>We survey undergraduate students about their college experiences</v>
      </c>
      <c r="D16" s="98"/>
      <c r="E16" s="140"/>
      <c r="F16" s="134"/>
      <c r="G16" s="135"/>
      <c r="H16" s="135"/>
      <c r="I16" s="135"/>
      <c r="J16" s="135"/>
    </row>
    <row r="17" spans="1:11" s="90" customFormat="1" ht="25.5" customHeight="1" thickBot="1" x14ac:dyDescent="0.25">
      <c r="A17" s="159" t="s">
        <v>983</v>
      </c>
      <c r="B17" s="145"/>
      <c r="C17" s="337" t="str">
        <f>'START HERE'!$C$3</f>
        <v>Oct 17 2025</v>
      </c>
      <c r="D17" s="141"/>
      <c r="E17" s="142"/>
      <c r="F17" s="134"/>
      <c r="G17" s="135"/>
      <c r="H17" s="135"/>
      <c r="I17" s="135"/>
      <c r="J17" s="135"/>
    </row>
    <row r="18" spans="1:11" s="90" customFormat="1" ht="24.75" customHeight="1" x14ac:dyDescent="0.2">
      <c r="A18" s="91"/>
      <c r="B18" s="91"/>
      <c r="C18" s="260"/>
      <c r="D18" s="97"/>
      <c r="E18" s="91"/>
      <c r="F18" s="91"/>
      <c r="G18" s="91"/>
      <c r="H18" s="92"/>
      <c r="I18" s="92"/>
      <c r="J18" s="92"/>
    </row>
    <row r="19" spans="1:11" s="88" customFormat="1" ht="24" customHeight="1" thickBot="1" x14ac:dyDescent="0.25">
      <c r="A19" s="372"/>
      <c r="B19" s="372"/>
      <c r="C19" s="372"/>
      <c r="D19" s="89"/>
    </row>
    <row r="20" spans="1:11" ht="30" customHeight="1" thickBot="1" x14ac:dyDescent="0.25">
      <c r="A20" s="273" t="s">
        <v>1568</v>
      </c>
      <c r="B20" s="84" t="s">
        <v>982</v>
      </c>
      <c r="C20" s="111" t="s">
        <v>1569</v>
      </c>
      <c r="D20" s="83" t="s">
        <v>1570</v>
      </c>
      <c r="E20" s="110" t="s">
        <v>981</v>
      </c>
      <c r="F20" s="110" t="s">
        <v>980</v>
      </c>
      <c r="G20" s="126" t="s">
        <v>1002</v>
      </c>
      <c r="H20" s="127"/>
      <c r="I20" s="128"/>
    </row>
    <row r="21" spans="1:11" s="85" customFormat="1" ht="40.5" customHeight="1" x14ac:dyDescent="0.2">
      <c r="B21" s="86" t="str">
        <f>VLOOKUP($K21,'Auto Responses'!$N$4:$O$38,2,0)&amp;""</f>
        <v xml:space="preserve"> General Privacy</v>
      </c>
      <c r="C21" s="118" t="b">
        <v>1</v>
      </c>
      <c r="D21" s="112">
        <f>IF($C21=TRUE,SUMIF('(backend scoring)'!$B$3:$B$333,$K21,'(backend scoring)'!$O$3:$O$333),"")</f>
        <v>0</v>
      </c>
      <c r="E21" s="119">
        <f>IF($C21=TRUE,SUMIF('(backend scoring)'!$B$3:$B$333,$K21,'(backend scoring)'!$P$3:$P$333),"")</f>
        <v>0</v>
      </c>
      <c r="F21" s="147" t="str">
        <f>IFERROR($E21/$D21,"N/A")</f>
        <v>N/A</v>
      </c>
      <c r="G21" s="223" t="str">
        <f>"Jump to "&amp;B21</f>
        <v>Jump to  General Privacy</v>
      </c>
      <c r="H21" s="121"/>
      <c r="I21" s="123"/>
      <c r="K21" s="85" t="s">
        <v>942</v>
      </c>
    </row>
    <row r="22" spans="1:11" s="85" customFormat="1" ht="40.5" customHeight="1" x14ac:dyDescent="0.2">
      <c r="B22" s="86" t="str">
        <f>VLOOKUP($K22,'Auto Responses'!$N$4:$O$38,2,0)&amp;""</f>
        <v xml:space="preserve"> Privacy-Specific Company Details</v>
      </c>
      <c r="C22" s="118" t="b">
        <v>1</v>
      </c>
      <c r="D22" s="112">
        <f>IF($C22=TRUE,SUMIF('(backend scoring)'!$B$3:$B$333,$K22,'(backend scoring)'!$O$3:$O$333),"")</f>
        <v>0</v>
      </c>
      <c r="E22" s="119">
        <f>IF($C22=TRUE,SUMIF('(backend scoring)'!$B$3:$B$333,$K22,'(backend scoring)'!$P$3:$P$333),"")</f>
        <v>0</v>
      </c>
      <c r="F22" s="146" t="str">
        <f t="shared" ref="F22:F30" si="0">IFERROR($E22/$D22,"N/A")</f>
        <v>N/A</v>
      </c>
      <c r="G22" s="224" t="str">
        <f t="shared" ref="G22:G30" si="1">"Jump to "&amp;B22</f>
        <v>Jump to  Privacy-Specific Company Details</v>
      </c>
      <c r="H22" s="120"/>
      <c r="I22" s="124"/>
      <c r="K22" s="85" t="s">
        <v>944</v>
      </c>
    </row>
    <row r="23" spans="1:11" s="85" customFormat="1" ht="40.5" customHeight="1" x14ac:dyDescent="0.2">
      <c r="B23" s="86" t="str">
        <f>VLOOKUP($K23,'Auto Responses'!$N$4:$O$38,2,0)&amp;""</f>
        <v xml:space="preserve"> Privacy-Specific Documentation</v>
      </c>
      <c r="C23" s="118" t="b">
        <v>1</v>
      </c>
      <c r="D23" s="112">
        <f>IF($C23=TRUE,SUMIF('(backend scoring)'!$B$3:$B$333,$K23,'(backend scoring)'!$O$3:$O$333),"")</f>
        <v>0</v>
      </c>
      <c r="E23" s="119">
        <f>IF($C23=TRUE,SUMIF('(backend scoring)'!$B$3:$B$333,$K23,'(backend scoring)'!$P$3:$P$333),"")</f>
        <v>0</v>
      </c>
      <c r="F23" s="146" t="str">
        <f t="shared" si="0"/>
        <v>N/A</v>
      </c>
      <c r="G23" s="224" t="str">
        <f t="shared" si="1"/>
        <v>Jump to  Privacy-Specific Documentation</v>
      </c>
      <c r="H23" s="120"/>
      <c r="I23" s="124"/>
      <c r="K23" s="85" t="s">
        <v>946</v>
      </c>
    </row>
    <row r="24" spans="1:11" s="85" customFormat="1" ht="40.5" customHeight="1" x14ac:dyDescent="0.2">
      <c r="B24" s="86" t="str">
        <f>VLOOKUP($K24,'Auto Responses'!$N$4:$O$38,2,0)&amp;""</f>
        <v xml:space="preserve"> Privacy of Third Parties</v>
      </c>
      <c r="C24" s="118" t="b">
        <v>1</v>
      </c>
      <c r="D24" s="112">
        <f>IF($C24=TRUE,SUMIF('(backend scoring)'!$B$3:$B$333,$K24,'(backend scoring)'!$O$3:$O$333),"")</f>
        <v>0</v>
      </c>
      <c r="E24" s="119">
        <f>IF($C24=TRUE,SUMIF('(backend scoring)'!$B$3:$B$333,$K24,'(backend scoring)'!$P$3:$P$333),"")</f>
        <v>0</v>
      </c>
      <c r="F24" s="146" t="str">
        <f t="shared" si="0"/>
        <v>N/A</v>
      </c>
      <c r="G24" s="224" t="str">
        <f t="shared" si="1"/>
        <v>Jump to  Privacy of Third Parties</v>
      </c>
      <c r="H24" s="120"/>
      <c r="I24" s="124"/>
      <c r="K24" s="85" t="s">
        <v>947</v>
      </c>
    </row>
    <row r="25" spans="1:11" s="85" customFormat="1" ht="40.5" customHeight="1" x14ac:dyDescent="0.2">
      <c r="B25" s="86" t="str">
        <f>VLOOKUP($K25,'Auto Responses'!$N$4:$O$38,2,0)&amp;""</f>
        <v xml:space="preserve"> Privacy Change Management</v>
      </c>
      <c r="C25" s="118" t="b">
        <v>1</v>
      </c>
      <c r="D25" s="112">
        <f>IF($C25=TRUE,SUMIF('(backend scoring)'!$B$3:$B$333,$K25,'(backend scoring)'!$O$3:$O$333),"")</f>
        <v>0</v>
      </c>
      <c r="E25" s="119">
        <f>IF($C25=TRUE,SUMIF('(backend scoring)'!$B$3:$B$333,$K25,'(backend scoring)'!$P$3:$P$333),"")</f>
        <v>0</v>
      </c>
      <c r="F25" s="146" t="str">
        <f t="shared" si="0"/>
        <v>N/A</v>
      </c>
      <c r="G25" s="224" t="str">
        <f t="shared" si="1"/>
        <v>Jump to  Privacy Change Management</v>
      </c>
      <c r="H25" s="120"/>
      <c r="I25" s="124"/>
      <c r="K25" s="85" t="s">
        <v>949</v>
      </c>
    </row>
    <row r="26" spans="1:11" s="85" customFormat="1" ht="40.5" customHeight="1" x14ac:dyDescent="0.2">
      <c r="B26" s="86" t="str">
        <f>VLOOKUP($K26,'Auto Responses'!$N$4:$O$38,2,0)&amp;""</f>
        <v xml:space="preserve"> Privacy of Sensitive Data</v>
      </c>
      <c r="C26" s="118" t="b">
        <v>1</v>
      </c>
      <c r="D26" s="112">
        <f>IF($C26=TRUE,SUMIF('(backend scoring)'!$B$3:$B$333,$K26,'(backend scoring)'!$O$3:$O$333),"")</f>
        <v>0</v>
      </c>
      <c r="E26" s="119">
        <f>IF($C26=TRUE,SUMIF('(backend scoring)'!$B$3:$B$333,$K26,'(backend scoring)'!$P$3:$P$333),"")</f>
        <v>0</v>
      </c>
      <c r="F26" s="146" t="str">
        <f t="shared" si="0"/>
        <v>N/A</v>
      </c>
      <c r="G26" s="224" t="str">
        <f t="shared" si="1"/>
        <v>Jump to  Privacy of Sensitive Data</v>
      </c>
      <c r="H26" s="120"/>
      <c r="I26" s="124"/>
      <c r="K26" s="85" t="s">
        <v>951</v>
      </c>
    </row>
    <row r="27" spans="1:11" s="85" customFormat="1" ht="40.5" customHeight="1" x14ac:dyDescent="0.2">
      <c r="B27" s="86" t="str">
        <f>VLOOKUP($K27,'Auto Responses'!$N$4:$O$38,2,0)&amp;""</f>
        <v xml:space="preserve"> Privacy Policies and Procedures</v>
      </c>
      <c r="C27" s="118" t="b">
        <v>1</v>
      </c>
      <c r="D27" s="112">
        <f>IF($C27=TRUE,SUMIF('(backend scoring)'!$B$3:$B$333,$K27,'(backend scoring)'!$O$3:$O$333),"")</f>
        <v>0</v>
      </c>
      <c r="E27" s="119">
        <f>IF($C27=TRUE,SUMIF('(backend scoring)'!$B$3:$B$333,$K27,'(backend scoring)'!$P$3:$P$333),"")</f>
        <v>0</v>
      </c>
      <c r="F27" s="146" t="str">
        <f t="shared" si="0"/>
        <v>N/A</v>
      </c>
      <c r="G27" s="224" t="str">
        <f t="shared" si="1"/>
        <v>Jump to  Privacy Policies and Procedures</v>
      </c>
      <c r="H27" s="120"/>
      <c r="I27" s="124"/>
      <c r="K27" s="85" t="s">
        <v>953</v>
      </c>
    </row>
    <row r="28" spans="1:11" s="85" customFormat="1" ht="40.5" customHeight="1" x14ac:dyDescent="0.2">
      <c r="B28" s="86" t="str">
        <f>VLOOKUP($K28,'Auto Responses'!$N$4:$O$38,2,0)&amp;""</f>
        <v xml:space="preserve"> International Privacy</v>
      </c>
      <c r="C28" s="118" t="b">
        <v>1</v>
      </c>
      <c r="D28" s="112">
        <f>IF($C28=TRUE,SUMIF('(backend scoring)'!$B$3:$B$333,$K28,'(backend scoring)'!$O$3:$O$333),"")</f>
        <v>0</v>
      </c>
      <c r="E28" s="119">
        <f>IF($C28=TRUE,SUMIF('(backend scoring)'!$B$3:$B$333,$K28,'(backend scoring)'!$P$3:$P$333),"")</f>
        <v>0</v>
      </c>
      <c r="F28" s="146" t="str">
        <f t="shared" si="0"/>
        <v>N/A</v>
      </c>
      <c r="G28" s="224" t="str">
        <f t="shared" si="1"/>
        <v>Jump to  International Privacy</v>
      </c>
      <c r="H28" s="120"/>
      <c r="I28" s="124"/>
      <c r="K28" s="85" t="s">
        <v>955</v>
      </c>
    </row>
    <row r="29" spans="1:11" s="85" customFormat="1" ht="40.5" customHeight="1" x14ac:dyDescent="0.2">
      <c r="B29" s="86" t="str">
        <f>VLOOKUP($K29,'Auto Responses'!$N$4:$O$38,2,0)&amp;""</f>
        <v xml:space="preserve"> Data Privacy</v>
      </c>
      <c r="C29" s="118" t="b">
        <v>1</v>
      </c>
      <c r="D29" s="112">
        <f>IF($C29=TRUE,SUMIF('(backend scoring)'!$B$3:$B$333,$K29,'(backend scoring)'!$O$3:$O$333),"")</f>
        <v>0</v>
      </c>
      <c r="E29" s="119">
        <f>IF($C29=TRUE,SUMIF('(backend scoring)'!$B$3:$B$333,$K29,'(backend scoring)'!$P$3:$P$333),"")</f>
        <v>0</v>
      </c>
      <c r="F29" s="146" t="str">
        <f t="shared" si="0"/>
        <v>N/A</v>
      </c>
      <c r="G29" s="224" t="str">
        <f t="shared" si="1"/>
        <v>Jump to  Data Privacy</v>
      </c>
      <c r="H29" s="120"/>
      <c r="I29" s="124"/>
      <c r="K29" s="85" t="s">
        <v>1090</v>
      </c>
    </row>
    <row r="30" spans="1:11" s="85" customFormat="1" ht="40.5" customHeight="1" thickBot="1" x14ac:dyDescent="0.25">
      <c r="B30" s="86" t="str">
        <f>VLOOKUP($K30,'Auto Responses'!$N$4:$O$38,2,0)&amp;""</f>
        <v xml:space="preserve"> Privacy and AI</v>
      </c>
      <c r="C30" s="118" t="b">
        <v>1</v>
      </c>
      <c r="D30" s="112">
        <f>IF($C30=TRUE,SUMIF('(backend scoring)'!$B$3:$B$333,$K30,'(backend scoring)'!$O$3:$O$333),"")</f>
        <v>0</v>
      </c>
      <c r="E30" s="119">
        <f>IF($C30=TRUE,SUMIF('(backend scoring)'!$B$3:$B$333,$K30,'(backend scoring)'!$P$3:$P$333),"")</f>
        <v>0</v>
      </c>
      <c r="F30" s="146" t="str">
        <f t="shared" si="0"/>
        <v>N/A</v>
      </c>
      <c r="G30" s="224" t="str">
        <f t="shared" si="1"/>
        <v>Jump to  Privacy and AI</v>
      </c>
      <c r="H30" s="120"/>
      <c r="I30" s="124"/>
      <c r="K30" s="85" t="s">
        <v>958</v>
      </c>
    </row>
    <row r="31" spans="1:11" s="85" customFormat="1" ht="30" customHeight="1" thickBot="1" x14ac:dyDescent="0.25">
      <c r="B31" s="84" t="s">
        <v>1003</v>
      </c>
      <c r="C31" s="111"/>
      <c r="D31" s="113">
        <f>SUM(D21:D30)</f>
        <v>0</v>
      </c>
      <c r="E31" s="113">
        <f>SUM(E21:E30)</f>
        <v>0</v>
      </c>
      <c r="F31" s="82" t="str">
        <f>IFERROR($E31/$D31,"N/A")</f>
        <v>N/A</v>
      </c>
      <c r="G31" s="129"/>
      <c r="H31" s="130"/>
      <c r="I31" s="131"/>
      <c r="J31" s="239" t="s">
        <v>1505</v>
      </c>
    </row>
    <row r="32" spans="1:11" ht="15" x14ac:dyDescent="0.2">
      <c r="F32" s="56" t="s">
        <v>978</v>
      </c>
    </row>
    <row r="33" spans="1:12" ht="15" x14ac:dyDescent="0.2"/>
    <row r="34" spans="1:12" ht="15" customHeight="1" x14ac:dyDescent="0.2"/>
    <row r="35" spans="1:12" s="181" customFormat="1" ht="36" customHeight="1" x14ac:dyDescent="0.2">
      <c r="A35" s="176" t="s">
        <v>1537</v>
      </c>
      <c r="B35" s="176"/>
      <c r="C35" s="180"/>
      <c r="D35" s="176"/>
      <c r="E35" s="176"/>
      <c r="F35" s="176"/>
      <c r="G35" s="176"/>
      <c r="H35" s="176"/>
      <c r="I35" s="176"/>
      <c r="J35" s="176"/>
      <c r="K35" s="176"/>
      <c r="L35" s="36"/>
    </row>
    <row r="36" spans="1:12" s="24" customFormat="1" ht="36" customHeight="1" x14ac:dyDescent="0.2">
      <c r="A36" s="25" t="s">
        <v>885</v>
      </c>
      <c r="B36" s="25"/>
      <c r="C36" s="70"/>
      <c r="D36" s="25"/>
      <c r="E36" s="25"/>
      <c r="F36" s="25"/>
      <c r="G36" s="25"/>
      <c r="H36" s="25"/>
      <c r="I36" s="25"/>
      <c r="J36" s="25"/>
      <c r="K36" s="25"/>
      <c r="L36" s="1"/>
    </row>
    <row r="37" spans="1:12" s="1" customFormat="1" ht="36" customHeight="1" x14ac:dyDescent="0.2">
      <c r="A37" s="11" t="s">
        <v>901</v>
      </c>
      <c r="B37" s="12"/>
      <c r="C37" s="13"/>
      <c r="D37" s="14"/>
      <c r="E37" s="14"/>
      <c r="F37" s="15"/>
      <c r="G37" s="15"/>
      <c r="H37" s="15"/>
      <c r="I37" s="15"/>
      <c r="J37" s="15"/>
      <c r="K37" s="15"/>
    </row>
    <row r="38" spans="1:12" s="1" customFormat="1" ht="19.5" customHeight="1" x14ac:dyDescent="0.2">
      <c r="A38" s="252" t="str">
        <f>HLOOKUP($A$4,'Auto Responses'!$F$2:$F$7,2,0)&amp;""</f>
        <v>1. Upon initial review, you can check the "Non-Negotiable" box by any question to compile a report of questions that may prohibit a full review.</v>
      </c>
      <c r="B38" s="252"/>
      <c r="C38" s="252"/>
      <c r="D38" s="252"/>
      <c r="E38" s="252"/>
      <c r="F38" s="252"/>
      <c r="G38" s="252"/>
      <c r="H38" s="252"/>
      <c r="I38" s="252"/>
      <c r="J38" s="252"/>
      <c r="K38" s="16"/>
    </row>
    <row r="39" spans="1:12" s="1" customFormat="1" ht="19.5" customHeight="1" x14ac:dyDescent="0.2">
      <c r="A39" s="252" t="str">
        <f>HLOOKUP($A$4,'Auto Responses'!$F$2:$F$7,3,0)&amp;""</f>
        <v>2. When evaluating an answer, a default importance level has been set. You can use the "Importance Override" dropdown to override the default and adjust the value of the question.</v>
      </c>
      <c r="B39" s="252"/>
      <c r="C39" s="252"/>
      <c r="D39" s="252"/>
      <c r="E39" s="252"/>
      <c r="F39" s="252"/>
      <c r="G39" s="252"/>
      <c r="H39" s="252"/>
      <c r="I39" s="252"/>
      <c r="J39" s="252"/>
      <c r="K39" s="16"/>
    </row>
    <row r="40" spans="1:12" s="1" customFormat="1" ht="19.5" customHeight="1" x14ac:dyDescent="0.2">
      <c r="A40" s="252" t="str">
        <f>HLOOKUP($A$4,'Auto Responses'!$F$2:$F$7,4,0)&amp;""</f>
        <v>3. For questions that are qualitative or for which you disagree with the preferred response, make a selection in the "Compliant Override" dropdown to adjust the question's impact on the score.</v>
      </c>
      <c r="B40" s="252"/>
      <c r="C40" s="252"/>
      <c r="D40" s="252"/>
      <c r="E40" s="252"/>
      <c r="F40" s="252"/>
      <c r="G40" s="252"/>
      <c r="H40" s="252"/>
      <c r="I40" s="252"/>
      <c r="J40" s="252"/>
      <c r="K40" s="16"/>
    </row>
    <row r="41" spans="1:12" s="1" customFormat="1" ht="19.5" customHeight="1" x14ac:dyDescent="0.2">
      <c r="A41" s="252" t="str">
        <f>HLOOKUP($A$4,'Auto Responses'!$F$2:$F$7,5,0)&amp;""</f>
        <v xml:space="preserve">4. Each worksheet shows a report for that section. See the "Analyst Report" sheet for a full report of all sections. </v>
      </c>
      <c r="B41" s="252"/>
      <c r="C41" s="252"/>
      <c r="D41" s="252"/>
      <c r="E41" s="252"/>
      <c r="F41" s="252"/>
      <c r="G41" s="252"/>
      <c r="H41" s="252"/>
      <c r="I41" s="252"/>
      <c r="J41" s="252"/>
      <c r="K41" s="16"/>
    </row>
    <row r="42" spans="1:12" s="1" customFormat="1" ht="19.5" customHeight="1" x14ac:dyDescent="0.2">
      <c r="A42" s="252" t="str">
        <f>HLOOKUP($A$4,'Auto Responses'!$F$2:$F$7,6,0)&amp;""</f>
        <v xml:space="preserve">5. If you are evaluating a question that appears in an earlier section, the Importance and Compliant Override cannot be changed but additional notes can be added. </v>
      </c>
      <c r="B42" s="252"/>
      <c r="C42" s="252"/>
      <c r="D42" s="252"/>
      <c r="E42" s="252"/>
      <c r="F42" s="252"/>
      <c r="G42" s="252"/>
      <c r="H42" s="252"/>
      <c r="I42" s="252"/>
      <c r="J42" s="252"/>
      <c r="K42" s="16"/>
    </row>
    <row r="43" spans="1:12" s="1" customFormat="1" ht="19.5" customHeight="1" thickBot="1" x14ac:dyDescent="0.25">
      <c r="A43" s="252" t="str">
        <f>HLOOKUP($A$4,'Auto Responses'!$F$2:$F$8,7,0)&amp;""</f>
        <v>For full instructions, please visit EDUCAUSE.edu/HECVAT</v>
      </c>
      <c r="B43" s="62"/>
      <c r="C43" s="62"/>
      <c r="D43" s="62"/>
      <c r="E43" s="62"/>
      <c r="F43" s="62"/>
      <c r="G43" s="62"/>
      <c r="H43" s="62"/>
      <c r="I43" s="62"/>
      <c r="J43" s="62"/>
      <c r="K43" s="16"/>
    </row>
    <row r="44" spans="1:12" s="24" customFormat="1" ht="41.25" customHeight="1" thickBot="1" x14ac:dyDescent="0.25">
      <c r="A44" s="26"/>
      <c r="B44" s="26"/>
      <c r="C44" s="71"/>
      <c r="D44" s="26"/>
      <c r="E44" s="26"/>
      <c r="F44" s="188" t="s">
        <v>884</v>
      </c>
      <c r="G44" s="183" t="s">
        <v>1070</v>
      </c>
      <c r="H44" s="184"/>
      <c r="I44" s="184"/>
      <c r="J44" s="184"/>
      <c r="K44" s="185"/>
      <c r="L44" s="1"/>
    </row>
    <row r="45" spans="1:12" s="30" customFormat="1" ht="48" customHeight="1" thickBot="1" x14ac:dyDescent="0.25">
      <c r="A45" s="27" t="s">
        <v>886</v>
      </c>
      <c r="B45" s="28" t="s">
        <v>1</v>
      </c>
      <c r="C45" s="28" t="s">
        <v>887</v>
      </c>
      <c r="D45" s="29" t="s">
        <v>72</v>
      </c>
      <c r="E45" s="308" t="s">
        <v>883</v>
      </c>
      <c r="F45" s="192" t="s">
        <v>1524</v>
      </c>
      <c r="G45" s="47" t="s">
        <v>904</v>
      </c>
      <c r="H45" s="44" t="s">
        <v>906</v>
      </c>
      <c r="I45" s="44" t="s">
        <v>19</v>
      </c>
      <c r="J45" s="45" t="s">
        <v>891</v>
      </c>
      <c r="K45" s="48" t="s">
        <v>902</v>
      </c>
      <c r="L45" s="1"/>
    </row>
    <row r="46" spans="1:12" s="1" customFormat="1" ht="37.35" customHeight="1" x14ac:dyDescent="0.2">
      <c r="A46" s="64" t="str">
        <f>VLOOKUP(LEFT($A47,4),'Auto Responses'!$N$4:$O$38,2,0)&amp;""</f>
        <v xml:space="preserve"> General Privacy</v>
      </c>
      <c r="B46" s="23"/>
      <c r="C46" s="32"/>
      <c r="D46" s="32"/>
      <c r="E46" s="32"/>
      <c r="F46" s="133" t="s">
        <v>1066</v>
      </c>
      <c r="G46" s="336" t="s">
        <v>904</v>
      </c>
      <c r="H46" s="336" t="s">
        <v>906</v>
      </c>
      <c r="I46" s="336" t="s">
        <v>19</v>
      </c>
      <c r="J46" s="336" t="s">
        <v>891</v>
      </c>
      <c r="K46" s="32"/>
    </row>
    <row r="47" spans="1:12" s="30" customFormat="1" ht="48" customHeight="1" x14ac:dyDescent="0.2">
      <c r="A47" s="19" t="s">
        <v>892</v>
      </c>
      <c r="B47" s="18" t="str">
        <f>VLOOKUP($A47,Questions!$A$2:$X$333,2,0)</f>
        <v>Does your solution process FERPA-related data?</v>
      </c>
      <c r="C47" s="46" t="str">
        <f>VLOOKUP($A47,Privacy!$A$13:$E$97,3,0)&amp;""</f>
        <v/>
      </c>
      <c r="D47" s="35" t="str">
        <f>IF(LEFT(VLOOKUP($A47,Privacy!$A$13:$E$97,5,0),21)='Auto Responses'!$A$32,'Auto Responses'!$A$33,VLOOKUP($A47,Privacy!$A$13:$E$97,4,0))&amp;""</f>
        <v/>
      </c>
      <c r="E47" s="333" t="str">
        <f>VLOOKUP($A47,Privacy!$A$13:$E$97,5,0)&amp;""</f>
        <v>FERPA-related data includes any data maintained by (or on behalf of) the institution that is directly related to an identifiable student.</v>
      </c>
      <c r="F47" s="189"/>
      <c r="G47" s="31" t="str">
        <f>VLOOKUP($A47,Questions!$A$2:$X$333,21,0)&amp;""</f>
        <v/>
      </c>
      <c r="H47" s="186"/>
      <c r="I47" s="46" t="str">
        <f>VLOOKUP($A47,Questions!$A$2:$X$333,23,0)&amp;""</f>
        <v/>
      </c>
      <c r="J47" s="186"/>
      <c r="K47" s="49" t="b">
        <v>0</v>
      </c>
      <c r="L47" s="1"/>
    </row>
    <row r="48" spans="1:12" s="30" customFormat="1" ht="48" customHeight="1" x14ac:dyDescent="0.2">
      <c r="A48" s="19" t="s">
        <v>893</v>
      </c>
      <c r="B48" s="18" t="str">
        <f>VLOOKUP($A48,Questions!$A$2:$X$333,2,0)</f>
        <v>Does your solution process GDPR-related or PIPL-related data?</v>
      </c>
      <c r="C48" s="46" t="str">
        <f>VLOOKUP($A48,Privacy!$A$13:$E$97,3,0)&amp;""</f>
        <v/>
      </c>
      <c r="D48" s="35" t="str">
        <f>IF(LEFT(VLOOKUP($A48,Privacy!$A$13:$E$97,5,0),21)='Auto Responses'!$A$32,'Auto Responses'!$A$33,VLOOKUP($A48,Privacy!$A$13:$E$97,4,0))&amp;""</f>
        <v/>
      </c>
      <c r="E48" s="333"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9"/>
      <c r="G48" s="31" t="str">
        <f>VLOOKUP($A48,Questions!$A$2:$X$333,21,0)&amp;""</f>
        <v/>
      </c>
      <c r="H48" s="186"/>
      <c r="I48" s="46" t="str">
        <f>VLOOKUP($A48,Questions!$A$2:$X$333,23,0)&amp;""</f>
        <v/>
      </c>
      <c r="J48" s="186"/>
      <c r="K48" s="49" t="b">
        <v>0</v>
      </c>
      <c r="L48" s="1"/>
    </row>
    <row r="49" spans="1:12" s="30" customFormat="1" ht="48" customHeight="1" x14ac:dyDescent="0.2">
      <c r="A49" s="19" t="s">
        <v>894</v>
      </c>
      <c r="B49" s="18" t="str">
        <f>VLOOKUP($A49,Questions!$A$2:$X$333,2,0)</f>
        <v>Does your solution process personal data regulated by state law(s) (e.g., CCPA)?</v>
      </c>
      <c r="C49" s="46" t="str">
        <f>VLOOKUP($A49,Privacy!$A$13:$E$97,3,0)&amp;""</f>
        <v/>
      </c>
      <c r="D49" s="35" t="str">
        <f>IF(LEFT(VLOOKUP($A49,Privacy!$A$13:$E$97,5,0),21)='Auto Responses'!$A$32,'Auto Responses'!$A$33,VLOOKUP($A49,Privacy!$A$13:$E$97,4,0))&amp;""</f>
        <v/>
      </c>
      <c r="E49" s="333" t="str">
        <f>VLOOKUP($A49,Privacy!$A$13:$E$97,5,0)&amp;""</f>
        <v/>
      </c>
      <c r="F49" s="189"/>
      <c r="G49" s="31" t="str">
        <f>VLOOKUP($A49,Questions!$A$2:$X$333,21,0)&amp;""</f>
        <v/>
      </c>
      <c r="H49" s="186"/>
      <c r="I49" s="46" t="str">
        <f>VLOOKUP($A49,Questions!$A$2:$X$333,23,0)&amp;""</f>
        <v/>
      </c>
      <c r="J49" s="186"/>
      <c r="K49" s="49" t="b">
        <v>0</v>
      </c>
      <c r="L49" s="1"/>
    </row>
    <row r="50" spans="1:12" s="30" customFormat="1" ht="48" customHeight="1" x14ac:dyDescent="0.2">
      <c r="A50" s="19" t="s">
        <v>895</v>
      </c>
      <c r="B50" s="18" t="str">
        <f>VLOOKUP($A50,Questions!$A$2:$X$333,2,0)</f>
        <v>Does your solution process user-provided data that may contain regulated information?</v>
      </c>
      <c r="C50" s="46" t="str">
        <f>VLOOKUP($A50,Privacy!$A$13:$E$97,3,0)&amp;""</f>
        <v/>
      </c>
      <c r="D50" s="35" t="str">
        <f>IF(LEFT(VLOOKUP($A50,Privacy!$A$13:$E$97,5,0),21)='Auto Responses'!$A$32,'Auto Responses'!$A$33,VLOOKUP($A50,Privacy!$A$13:$E$97,4,0))&amp;""</f>
        <v/>
      </c>
      <c r="E50" s="333" t="str">
        <f>VLOOKUP($A50,Privacy!$A$13:$E$97,5,0)&amp;""</f>
        <v/>
      </c>
      <c r="F50" s="189"/>
      <c r="G50" s="31" t="str">
        <f>VLOOKUP($A50,Questions!$A$2:$X$333,21,0)&amp;""</f>
        <v/>
      </c>
      <c r="H50" s="186"/>
      <c r="I50" s="46" t="str">
        <f>VLOOKUP($A50,Questions!$A$2:$X$333,23,0)&amp;""</f>
        <v/>
      </c>
      <c r="J50" s="186"/>
      <c r="K50" s="49" t="b">
        <v>0</v>
      </c>
      <c r="L50" s="1"/>
    </row>
    <row r="51" spans="1:12" s="30" customFormat="1" ht="48" customHeight="1" x14ac:dyDescent="0.2">
      <c r="A51" s="19" t="s">
        <v>896</v>
      </c>
      <c r="B51" s="18" t="str">
        <f>VLOOKUP($A51,Questions!$A$2:$X$333,2,0)</f>
        <v>Web Link to Product/Service Privacy Notice</v>
      </c>
      <c r="C51" s="306" t="str">
        <f>VLOOKUP($A51,Privacy!$A$13:$E$97,3,0)&amp;""</f>
        <v/>
      </c>
      <c r="D51" s="35" t="str">
        <f>IF(LEFT(VLOOKUP($A51,Privacy!$A$13:$E$97,5,0),21)='Auto Responses'!$A$32,'Auto Responses'!$A$33,VLOOKUP($A51,Privacy!$A$13:$E$97,4,0))&amp;""</f>
        <v/>
      </c>
      <c r="E51" s="333" t="str">
        <f>VLOOKUP($A51,Privacy!$A$13:$E$97,5,0)&amp;""</f>
        <v>If multiple notices are implicated, provide all that apply. If any other documents are incorporated by reference, provide them as well.</v>
      </c>
      <c r="F51" s="189"/>
      <c r="G51" s="31" t="str">
        <f>VLOOKUP($A51,Questions!$A$2:$X$333,21,0)&amp;""</f>
        <v>Not scored</v>
      </c>
      <c r="H51" s="186"/>
      <c r="I51" s="46" t="str">
        <f>VLOOKUP($A51,Questions!$A$2:$X$333,23,0)&amp;""</f>
        <v/>
      </c>
      <c r="J51" s="186"/>
      <c r="K51" s="49" t="b">
        <v>0</v>
      </c>
      <c r="L51" s="1"/>
    </row>
    <row r="52" spans="1:12" s="1" customFormat="1" ht="37.35" customHeight="1" x14ac:dyDescent="0.2">
      <c r="A52" s="64" t="str">
        <f>VLOOKUP(LEFT($A53,4),'Auto Responses'!$N$4:$O$38,2,0)&amp;""</f>
        <v xml:space="preserve"> Privacy-Specific Company Details</v>
      </c>
      <c r="B52" s="23"/>
      <c r="C52" s="32"/>
      <c r="D52" s="32"/>
      <c r="E52" s="332"/>
      <c r="F52" s="133" t="s">
        <v>1066</v>
      </c>
      <c r="G52" s="336" t="s">
        <v>904</v>
      </c>
      <c r="H52" s="336" t="s">
        <v>906</v>
      </c>
      <c r="I52" s="336" t="s">
        <v>19</v>
      </c>
      <c r="J52" s="336" t="s">
        <v>891</v>
      </c>
      <c r="K52" s="32"/>
    </row>
    <row r="53" spans="1:12" s="30" customFormat="1" ht="79.5" customHeight="1" x14ac:dyDescent="0.2">
      <c r="A53" s="19" t="s">
        <v>711</v>
      </c>
      <c r="B53" s="18" t="str">
        <f>VLOOKUP($A53,Questions!$A$2:$X$333,2,0)</f>
        <v>Have you had a personal data breach in the past three years that involved reporting to a governmental agency, notice to individuals (including voluntary notice), or notice to another organization or institution?*</v>
      </c>
      <c r="C53" s="46" t="str">
        <f>VLOOKUP($A53,Privacy!$A$13:$E$97,3,0)&amp;""</f>
        <v/>
      </c>
      <c r="D53" s="35" t="str">
        <f>IF(LEFT(VLOOKUP($A53,Privacy!$A$13:$E$97,5,0),21)='Auto Responses'!$A$32,'Auto Responses'!$A$33,VLOOKUP($A53,Privacy!$A$13:$E$97,4,0))&amp;""</f>
        <v/>
      </c>
      <c r="E53" s="331" t="str">
        <f>VLOOKUP($A53,Privacy!$A$13:$E$97,5,0)&amp;""</f>
        <v/>
      </c>
      <c r="F53" s="189"/>
      <c r="G53" s="31" t="str">
        <f>VLOOKUP($A53,Questions!$A$2:$X$333,21,0)&amp;""</f>
        <v>No</v>
      </c>
      <c r="H53" s="186"/>
      <c r="I53" s="46" t="str">
        <f>VLOOKUP($A53,Questions!$A$2:$X$333,23,0)&amp;""</f>
        <v>Critical Importance</v>
      </c>
      <c r="J53" s="186"/>
      <c r="K53" s="49" t="b">
        <v>0</v>
      </c>
      <c r="L53" s="1"/>
    </row>
    <row r="54" spans="1:12" s="30" customFormat="1" ht="48" customHeight="1" x14ac:dyDescent="0.2">
      <c r="A54" s="19" t="s">
        <v>713</v>
      </c>
      <c r="B54" s="18" t="str">
        <f>VLOOKUP($A54,Questions!$A$2:$X$333,2,0)</f>
        <v>Use this area to share information about your privacy practices that will assist those who are assessing your company data privacy program.*</v>
      </c>
      <c r="C54" s="306" t="str">
        <f>VLOOKUP($A54,Privacy!$A$13:$E$97,3,0)&amp;""</f>
        <v/>
      </c>
      <c r="D54" s="35" t="str">
        <f>IF(LEFT(VLOOKUP($A54,Privacy!$A$13:$E$97,5,0),21)='Auto Responses'!$A$32,'Auto Responses'!$A$33,VLOOKUP($A54,Privacy!$A$13:$E$97,4,0))&amp;""</f>
        <v/>
      </c>
      <c r="E54" s="331" t="str">
        <f>VLOOKUP($A54,Privacy!$A$13:$E$97,5,0)&amp;""</f>
        <v>Share any additional details that would help data privacy analysts assess your solution.</v>
      </c>
      <c r="F54" s="189"/>
      <c r="G54" s="31" t="str">
        <f>VLOOKUP($A54,Questions!$A$2:$X$333,21,0)&amp;""</f>
        <v>Not scored</v>
      </c>
      <c r="H54" s="186"/>
      <c r="I54" s="46" t="str">
        <f>VLOOKUP($A54,Questions!$A$2:$X$333,23,0)&amp;""</f>
        <v/>
      </c>
      <c r="J54" s="186"/>
      <c r="K54" s="49" t="b">
        <v>0</v>
      </c>
      <c r="L54" s="1"/>
    </row>
    <row r="55" spans="1:12" s="30" customFormat="1" ht="48" customHeight="1" x14ac:dyDescent="0.2">
      <c r="A55" s="19" t="s">
        <v>714</v>
      </c>
      <c r="B55" s="18" t="str">
        <f>VLOOKUP($A55,Questions!$A$2:$X$333,2,0)</f>
        <v>Have you had any violations of your internal privacy policies or violations of applicable privacy law in the past 36 months?</v>
      </c>
      <c r="C55" s="46" t="str">
        <f>VLOOKUP($A55,Privacy!$A$13:$E$97,3,0)&amp;""</f>
        <v/>
      </c>
      <c r="D55" s="35" t="str">
        <f>IF(LEFT(VLOOKUP($A55,Privacy!$A$13:$E$97,5,0),21)='Auto Responses'!$A$32,'Auto Responses'!$A$33,VLOOKUP($A55,Privacy!$A$13:$E$97,4,0))&amp;""</f>
        <v/>
      </c>
      <c r="E55" s="331" t="str">
        <f>VLOOKUP($A55,Privacy!$A$13:$E$97,5,0)&amp;""</f>
        <v/>
      </c>
      <c r="F55" s="189"/>
      <c r="G55" s="31" t="str">
        <f>VLOOKUP($A55,Questions!$A$2:$X$333,21,0)&amp;""</f>
        <v>No</v>
      </c>
      <c r="H55" s="186"/>
      <c r="I55" s="46" t="str">
        <f>VLOOKUP($A55,Questions!$A$2:$X$333,23,0)&amp;""</f>
        <v>Minor Importance</v>
      </c>
      <c r="J55" s="186"/>
      <c r="K55" s="49" t="b">
        <v>0</v>
      </c>
      <c r="L55" s="1"/>
    </row>
    <row r="56" spans="1:12" s="30" customFormat="1" ht="48" customHeight="1" x14ac:dyDescent="0.2">
      <c r="A56" s="19" t="s">
        <v>715</v>
      </c>
      <c r="B56" s="18" t="str">
        <f>VLOOKUP($A56,Questions!$A$2:$X$333,2,0)</f>
        <v>Do you have a dedicated data privacy staff or office?</v>
      </c>
      <c r="C56" s="46" t="str">
        <f>VLOOKUP($A56,Privacy!$A$13:$E$97,3,0)&amp;""</f>
        <v/>
      </c>
      <c r="D56" s="35" t="str">
        <f>IF(LEFT(VLOOKUP($A56,Privacy!$A$13:$E$97,5,0),21)='Auto Responses'!$A$32,'Auto Responses'!$A$33,VLOOKUP($A56,Privacy!$A$13:$E$97,4,0))&amp;""</f>
        <v/>
      </c>
      <c r="E56" s="331" t="str">
        <f>VLOOKUP($A56,Privacy!$A$13:$E$97,5,0)&amp;""</f>
        <v>This can include another office, such as information security, dedicated to privacy protection.</v>
      </c>
      <c r="F56" s="189"/>
      <c r="G56" s="31" t="str">
        <f>VLOOKUP($A56,Questions!$A$2:$X$333,21,0)&amp;""</f>
        <v>Yes</v>
      </c>
      <c r="H56" s="186"/>
      <c r="I56" s="46" t="str">
        <f>VLOOKUP($A56,Questions!$A$2:$X$333,23,0)&amp;""</f>
        <v>Minor Importance</v>
      </c>
      <c r="J56" s="186"/>
      <c r="K56" s="49" t="b">
        <v>0</v>
      </c>
      <c r="L56" s="1"/>
    </row>
    <row r="57" spans="1:12" s="1" customFormat="1" ht="37.35" customHeight="1" x14ac:dyDescent="0.2">
      <c r="A57" s="64" t="str">
        <f>VLOOKUP(LEFT($A58,4),'Auto Responses'!$N$4:$O$38,2,0)&amp;""</f>
        <v xml:space="preserve"> Privacy-Specific Documentation</v>
      </c>
      <c r="B57" s="23"/>
      <c r="C57" s="32"/>
      <c r="D57" s="32"/>
      <c r="E57" s="332"/>
      <c r="F57" s="133" t="s">
        <v>1066</v>
      </c>
      <c r="G57" s="336" t="s">
        <v>904</v>
      </c>
      <c r="H57" s="336" t="s">
        <v>906</v>
      </c>
      <c r="I57" s="336" t="s">
        <v>19</v>
      </c>
      <c r="J57" s="336" t="s">
        <v>891</v>
      </c>
      <c r="K57" s="32"/>
    </row>
    <row r="58" spans="1:12" s="30" customFormat="1" ht="48" customHeight="1" x14ac:dyDescent="0.2">
      <c r="A58" s="19" t="s">
        <v>716</v>
      </c>
      <c r="B58" s="18" t="str">
        <f>VLOOKUP($A58,Questions!$A$2:$X$333,2,0)</f>
        <v>If you have completed a SOC 2 audit, does it include the Privacy Trust Service Principle?</v>
      </c>
      <c r="C58" s="46" t="str">
        <f>VLOOKUP($A58,Privacy!$A$13:$E$97,3,0)&amp;""</f>
        <v/>
      </c>
      <c r="D58" s="35" t="str">
        <f>IF(LEFT(VLOOKUP($A58,Privacy!$A$13:$E$97,5,0),21)='Auto Responses'!$A$32,'Auto Responses'!$A$33,VLOOKUP($A58,Privacy!$A$13:$E$97,4,0))&amp;""</f>
        <v/>
      </c>
      <c r="E58" s="331" t="str">
        <f>VLOOKUP($A58,Privacy!$A$13:$E$97,5,0)&amp;""</f>
        <v>SOC 2 Type II audits can be conducted for any or all of five trust principles (confidentiality, integrity, availability, security, and privacy). Answer "yes" if your audit included the privacy principle.</v>
      </c>
      <c r="F58" s="189"/>
      <c r="G58" s="31" t="str">
        <f>VLOOKUP($A58,Questions!$A$2:$X$333,21,0)&amp;""</f>
        <v>Yes</v>
      </c>
      <c r="H58" s="186"/>
      <c r="I58" s="46" t="str">
        <f>VLOOKUP($A58,Questions!$A$2:$X$333,23,0)&amp;""</f>
        <v/>
      </c>
      <c r="J58" s="186"/>
      <c r="K58" s="49" t="b">
        <v>0</v>
      </c>
      <c r="L58" s="1"/>
    </row>
    <row r="59" spans="1:12" s="30" customFormat="1" ht="48" customHeight="1" x14ac:dyDescent="0.2">
      <c r="A59" s="19" t="s">
        <v>717</v>
      </c>
      <c r="B59" s="18" t="str">
        <f>VLOOKUP($A59,Questions!$A$2:$X$333,2,0)</f>
        <v>Do you conform with a specific industry-standard privacy framework (e.g., NIST Privacy Framework, GDPR, ISO 27701)?</v>
      </c>
      <c r="C59" s="46" t="str">
        <f>VLOOKUP($A59,Privacy!$A$13:$E$97,3,0)&amp;""</f>
        <v/>
      </c>
      <c r="D59" s="35" t="str">
        <f>IF(LEFT(VLOOKUP($A59,Privacy!$A$13:$E$97,5,0),21)='Auto Responses'!$A$32,'Auto Responses'!$A$33,VLOOKUP($A59,Privacy!$A$13:$E$97,4,0))&amp;""</f>
        <v/>
      </c>
      <c r="E59" s="331"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9"/>
      <c r="G59" s="31" t="str">
        <f>VLOOKUP($A59,Questions!$A$2:$X$333,21,0)&amp;""</f>
        <v>Yes</v>
      </c>
      <c r="H59" s="186"/>
      <c r="I59" s="46" t="str">
        <f>VLOOKUP($A59,Questions!$A$2:$X$333,23,0)&amp;""</f>
        <v/>
      </c>
      <c r="J59" s="186"/>
      <c r="K59" s="49" t="b">
        <v>0</v>
      </c>
      <c r="L59" s="1"/>
    </row>
    <row r="60" spans="1:12" s="30" customFormat="1" ht="48" customHeight="1" x14ac:dyDescent="0.2">
      <c r="A60" s="19" t="s">
        <v>718</v>
      </c>
      <c r="B60" s="18" t="str">
        <f>VLOOKUP($A60,Questions!$A$2:$X$333,2,0)</f>
        <v>Does your employee onboarding and offboarding policy include training of employees on information security and data privacy?</v>
      </c>
      <c r="C60" s="46" t="str">
        <f>VLOOKUP($A60,Privacy!$A$13:$E$97,3,0)&amp;""</f>
        <v/>
      </c>
      <c r="D60" s="35" t="str">
        <f>IF(LEFT(VLOOKUP($A60,Privacy!$A$13:$E$97,5,0),21)='Auto Responses'!$A$32,'Auto Responses'!$A$33,VLOOKUP($A60,Privacy!$A$13:$E$97,4,0))&amp;""</f>
        <v/>
      </c>
      <c r="E60" s="331" t="str">
        <f>VLOOKUP($A60,Privacy!$A$13:$E$97,5,0)&amp;""</f>
        <v/>
      </c>
      <c r="F60" s="189"/>
      <c r="G60" s="31" t="str">
        <f>VLOOKUP($A60,Questions!$A$2:$X$333,21,0)&amp;""</f>
        <v>Yes</v>
      </c>
      <c r="H60" s="186"/>
      <c r="I60" s="46" t="str">
        <f>VLOOKUP($A60,Questions!$A$2:$X$333,23,0)&amp;""</f>
        <v>Standard Importance</v>
      </c>
      <c r="J60" s="186"/>
      <c r="K60" s="49" t="b">
        <v>0</v>
      </c>
      <c r="L60" s="1"/>
    </row>
    <row r="61" spans="1:12" s="1" customFormat="1" ht="37.35" customHeight="1" x14ac:dyDescent="0.2">
      <c r="A61" s="64" t="str">
        <f>VLOOKUP(LEFT($A62,4),'Auto Responses'!$N$4:$O$38,2,0)&amp;""</f>
        <v xml:space="preserve"> Privacy of Third Parties</v>
      </c>
      <c r="B61" s="23"/>
      <c r="C61" s="32"/>
      <c r="D61" s="32"/>
      <c r="E61" s="332"/>
      <c r="F61" s="133" t="s">
        <v>1066</v>
      </c>
      <c r="G61" s="336" t="s">
        <v>904</v>
      </c>
      <c r="H61" s="336" t="s">
        <v>906</v>
      </c>
      <c r="I61" s="336" t="s">
        <v>19</v>
      </c>
      <c r="J61" s="336" t="s">
        <v>891</v>
      </c>
      <c r="K61" s="32"/>
    </row>
    <row r="62" spans="1:12" s="30" customFormat="1" ht="48" customHeight="1" x14ac:dyDescent="0.2">
      <c r="A62" s="19" t="s">
        <v>720</v>
      </c>
      <c r="B62" s="18" t="str">
        <f>VLOOKUP($A62,Questions!$A$2:$X$333,2,0)</f>
        <v>Do you have contractual agreements with third parties that require them to maintain standards and to comply with all regulatory requirements?*</v>
      </c>
      <c r="C62" s="46" t="str">
        <f>VLOOKUP($A62,Privacy!$A$13:$E$97,3,0)&amp;""</f>
        <v/>
      </c>
      <c r="D62" s="35" t="str">
        <f>IF(LEFT(VLOOKUP($A62,Privacy!$A$13:$E$97,5,0),21)='Auto Responses'!$A$32,'Auto Responses'!$A$33,VLOOKUP($A62,Privacy!$A$13:$E$97,4,0))&amp;""</f>
        <v/>
      </c>
      <c r="E62" s="331"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9"/>
      <c r="G62" s="31" t="str">
        <f>VLOOKUP($A62,Questions!$A$2:$X$333,21,0)&amp;""</f>
        <v>Yes</v>
      </c>
      <c r="H62" s="186"/>
      <c r="I62" s="46" t="str">
        <f>VLOOKUP($A62,Questions!$A$2:$X$333,23,0)&amp;""</f>
        <v>Critical Importance</v>
      </c>
      <c r="J62" s="186"/>
      <c r="K62" s="49" t="b">
        <v>0</v>
      </c>
      <c r="L62" s="1"/>
    </row>
    <row r="63" spans="1:12" s="30" customFormat="1" ht="95.25" customHeight="1" x14ac:dyDescent="0.2">
      <c r="A63" s="19" t="s">
        <v>722</v>
      </c>
      <c r="B63" s="18" t="str">
        <f>VLOOKUP($A63,Questions!$A$2:$X$333,2,0)</f>
        <v>Do you perform privacy impact assesments of third parties that collect, process, or have access to personal data to ensure they meet industry and regulatory standards and to mitigate harmful, unethical, or discriminatory impacts on data subjects?</v>
      </c>
      <c r="C63" s="46" t="str">
        <f>VLOOKUP($A63,Privacy!$A$13:$E$97,3,0)&amp;""</f>
        <v/>
      </c>
      <c r="D63" s="35" t="str">
        <f>IF(LEFT(VLOOKUP($A63,Privacy!$A$13:$E$97,5,0),21)='Auto Responses'!$A$32,'Auto Responses'!$A$33,VLOOKUP($A63,Privacy!$A$13:$E$97,4,0))&amp;""</f>
        <v/>
      </c>
      <c r="E63" s="331"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9"/>
      <c r="G63" s="31" t="str">
        <f>VLOOKUP($A63,Questions!$A$2:$X$333,21,0)&amp;""</f>
        <v>Yes</v>
      </c>
      <c r="H63" s="186"/>
      <c r="I63" s="46" t="str">
        <f>VLOOKUP($A63,Questions!$A$2:$X$333,23,0)&amp;""</f>
        <v>Minor Importance</v>
      </c>
      <c r="J63" s="186"/>
      <c r="K63" s="49" t="b">
        <v>0</v>
      </c>
      <c r="L63" s="1"/>
    </row>
    <row r="64" spans="1:12" s="1" customFormat="1" ht="37.35" customHeight="1" x14ac:dyDescent="0.2">
      <c r="A64" s="64" t="str">
        <f>VLOOKUP(LEFT($A65,4),'Auto Responses'!$N$4:$O$38,2,0)&amp;""</f>
        <v xml:space="preserve"> Privacy Change Management</v>
      </c>
      <c r="B64" s="23"/>
      <c r="C64" s="32"/>
      <c r="D64" s="32"/>
      <c r="E64" s="332"/>
      <c r="F64" s="133" t="s">
        <v>1066</v>
      </c>
      <c r="G64" s="336" t="s">
        <v>904</v>
      </c>
      <c r="H64" s="336" t="s">
        <v>906</v>
      </c>
      <c r="I64" s="336" t="s">
        <v>19</v>
      </c>
      <c r="J64" s="336" t="s">
        <v>891</v>
      </c>
      <c r="K64" s="32"/>
    </row>
    <row r="65" spans="1:12" s="30" customFormat="1" ht="48" customHeight="1" x14ac:dyDescent="0.2">
      <c r="A65" s="19" t="s">
        <v>723</v>
      </c>
      <c r="B65" s="18" t="str">
        <f>VLOOKUP($A65,Questions!$A$2:$X$333,2,0)</f>
        <v>Does your change management process include privacy review and approval?</v>
      </c>
      <c r="C65" s="46" t="str">
        <f>VLOOKUP($A65,Privacy!$A$13:$E$97,3,0)&amp;""</f>
        <v/>
      </c>
      <c r="D65" s="35" t="str">
        <f>IF(LEFT(VLOOKUP($A65,Privacy!$A$13:$E$97,5,0),21)='Auto Responses'!$A$32,'Auto Responses'!$A$33,VLOOKUP($A65,Privacy!$A$13:$E$97,4,0))&amp;""</f>
        <v/>
      </c>
      <c r="E65" s="331" t="str">
        <f>VLOOKUP($A65,Privacy!$A$13:$E$97,5,0)&amp;""</f>
        <v>The change management process minimizes disruption and maximizes benefits and should contain a privacy review process.</v>
      </c>
      <c r="F65" s="189"/>
      <c r="G65" s="31" t="str">
        <f>VLOOKUP($A65,Questions!$A$2:$X$333,21,0)&amp;""</f>
        <v>Yes</v>
      </c>
      <c r="H65" s="186"/>
      <c r="I65" s="46" t="str">
        <f>VLOOKUP($A65,Questions!$A$2:$X$333,23,0)&amp;""</f>
        <v/>
      </c>
      <c r="J65" s="186"/>
      <c r="K65" s="49" t="b">
        <v>0</v>
      </c>
      <c r="L65" s="1"/>
    </row>
    <row r="66" spans="1:12" s="30" customFormat="1" ht="48" customHeight="1" x14ac:dyDescent="0.2">
      <c r="A66" s="19" t="s">
        <v>725</v>
      </c>
      <c r="B66" s="18" t="str">
        <f>VLOOKUP($A66,Questions!$A$2:$X$333,2,0)</f>
        <v>Do you have policy and procedure, currently implemented, guiding how privacy risks are mitigated until they can be resolved?</v>
      </c>
      <c r="C66" s="46" t="str">
        <f>VLOOKUP($A66,Privacy!$A$13:$E$97,3,0)&amp;""</f>
        <v/>
      </c>
      <c r="D66" s="35" t="str">
        <f>IF(LEFT(VLOOKUP($A66,Privacy!$A$13:$E$97,5,0),21)='Auto Responses'!$A$32,'Auto Responses'!$A$33,VLOOKUP($A66,Privacy!$A$13:$E$97,4,0))&amp;""</f>
        <v/>
      </c>
      <c r="E66" s="331" t="str">
        <f>VLOOKUP($A66,Privacy!$A$13:$E$97,5,0)&amp;""</f>
        <v>Policy and procedure should include specific steps to take in the process of mitigating privacy risks.</v>
      </c>
      <c r="F66" s="189"/>
      <c r="G66" s="31" t="str">
        <f>VLOOKUP($A66,Questions!$A$2:$X$333,21,0)&amp;""</f>
        <v>Yes</v>
      </c>
      <c r="H66" s="186"/>
      <c r="I66" s="46" t="str">
        <f>VLOOKUP($A66,Questions!$A$2:$X$333,23,0)&amp;""</f>
        <v>Minor Importance</v>
      </c>
      <c r="J66" s="186"/>
      <c r="K66" s="49" t="b">
        <v>0</v>
      </c>
      <c r="L66" s="1"/>
    </row>
    <row r="67" spans="1:12" s="1" customFormat="1" ht="37.35" customHeight="1" x14ac:dyDescent="0.2">
      <c r="A67" s="64" t="str">
        <f>VLOOKUP(LEFT($A68,4),'Auto Responses'!$N$4:$O$38,2,0)&amp;""</f>
        <v xml:space="preserve"> Privacy of Sensitive Data</v>
      </c>
      <c r="B67" s="23"/>
      <c r="C67" s="32"/>
      <c r="D67" s="32"/>
      <c r="E67" s="332"/>
      <c r="F67" s="133" t="s">
        <v>1066</v>
      </c>
      <c r="G67" s="336" t="s">
        <v>904</v>
      </c>
      <c r="H67" s="336" t="s">
        <v>906</v>
      </c>
      <c r="I67" s="336" t="s">
        <v>19</v>
      </c>
      <c r="J67" s="336" t="s">
        <v>891</v>
      </c>
      <c r="K67" s="32"/>
    </row>
    <row r="68" spans="1:12" s="30" customFormat="1" ht="48" customHeight="1" x14ac:dyDescent="0.2">
      <c r="A68" s="19" t="s">
        <v>727</v>
      </c>
      <c r="B68" s="18" t="str">
        <f>VLOOKUP($A68,Questions!$A$2:$X$333,2,0)</f>
        <v>Do you collect, process, or store demographic information?*</v>
      </c>
      <c r="C68" s="46" t="str">
        <f>VLOOKUP($A68,Privacy!$A$13:$E$97,3,0)&amp;""</f>
        <v/>
      </c>
      <c r="D68" s="35" t="str">
        <f>IF(LEFT(VLOOKUP($A68,Privacy!$A$13:$E$97,5,0),21)='Auto Responses'!$A$32,'Auto Responses'!$A$33,VLOOKUP($A68,Privacy!$A$13:$E$97,4,0))&amp;""</f>
        <v/>
      </c>
      <c r="E68" s="331"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9"/>
      <c r="G68" s="31" t="str">
        <f>VLOOKUP($A68,Questions!$A$2:$X$333,21,0)&amp;""</f>
        <v>No</v>
      </c>
      <c r="H68" s="186"/>
      <c r="I68" s="46" t="str">
        <f>VLOOKUP($A68,Questions!$A$2:$X$333,23,0)&amp;""</f>
        <v>Critical Importance</v>
      </c>
      <c r="J68" s="186"/>
      <c r="K68" s="49" t="b">
        <v>0</v>
      </c>
      <c r="L68" s="1"/>
    </row>
    <row r="69" spans="1:12" s="30" customFormat="1" ht="48" customHeight="1" x14ac:dyDescent="0.2">
      <c r="A69" s="19" t="s">
        <v>729</v>
      </c>
      <c r="B69" s="18" t="str">
        <f>VLOOKUP($A69,Questions!$A$2:$X$333,2,0)</f>
        <v>Do you capture or create genetic, biometric, or behaviometric information (e.g., facial recognition or fingerprints)?*</v>
      </c>
      <c r="C69" s="46" t="str">
        <f>VLOOKUP($A69,Privacy!$A$13:$E$97,3,0)&amp;""</f>
        <v/>
      </c>
      <c r="D69" s="35" t="str">
        <f>IF(LEFT(VLOOKUP($A69,Privacy!$A$13:$E$97,5,0),21)='Auto Responses'!$A$32,'Auto Responses'!$A$33,VLOOKUP($A69,Privacy!$A$13:$E$97,4,0))&amp;""</f>
        <v/>
      </c>
      <c r="E69" s="331"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9"/>
      <c r="G69" s="31" t="str">
        <f>VLOOKUP($A69,Questions!$A$2:$X$333,21,0)&amp;""</f>
        <v>No</v>
      </c>
      <c r="H69" s="186"/>
      <c r="I69" s="46" t="str">
        <f>VLOOKUP($A69,Questions!$A$2:$X$333,23,0)&amp;""</f>
        <v>Critical Importance</v>
      </c>
      <c r="J69" s="186"/>
      <c r="K69" s="49" t="b">
        <v>0</v>
      </c>
      <c r="L69" s="1"/>
    </row>
    <row r="70" spans="1:12" s="30" customFormat="1" ht="48" customHeight="1" x14ac:dyDescent="0.2">
      <c r="A70" s="19" t="s">
        <v>731</v>
      </c>
      <c r="B70" s="18" t="str">
        <f>VLOOKUP($A70,Questions!$A$2:$X$333,2,0)</f>
        <v>Do you combine institutional data (including "de-identified," "anonymized," or otherwise masked data) with personal data from any other sources?*</v>
      </c>
      <c r="C70" s="46" t="str">
        <f>VLOOKUP($A70,Privacy!$A$13:$E$97,3,0)&amp;""</f>
        <v/>
      </c>
      <c r="D70" s="35" t="str">
        <f>IF(LEFT(VLOOKUP($A70,Privacy!$A$13:$E$97,5,0),21)='Auto Responses'!$A$32,'Auto Responses'!$A$33,VLOOKUP($A70,Privacy!$A$13:$E$97,4,0))&amp;""</f>
        <v/>
      </c>
      <c r="E70" s="331"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9"/>
      <c r="G70" s="31" t="str">
        <f>VLOOKUP($A70,Questions!$A$2:$X$333,21,0)&amp;""</f>
        <v>No</v>
      </c>
      <c r="H70" s="186"/>
      <c r="I70" s="46" t="str">
        <f>VLOOKUP($A70,Questions!$A$2:$X$333,23,0)&amp;""</f>
        <v>Critical Importance</v>
      </c>
      <c r="J70" s="186"/>
      <c r="K70" s="49" t="b">
        <v>0</v>
      </c>
      <c r="L70" s="1"/>
    </row>
    <row r="71" spans="1:12" s="30" customFormat="1" ht="48" customHeight="1" x14ac:dyDescent="0.2">
      <c r="A71" s="19" t="s">
        <v>732</v>
      </c>
      <c r="B71" s="18" t="str">
        <f>VLOOKUP($A71,Questions!$A$2:$X$333,2,0)</f>
        <v>Is institutional data coming into or going out of the United States at any point during collection, processing, storage, or archiving?</v>
      </c>
      <c r="C71" s="46" t="str">
        <f>VLOOKUP($A71,Privacy!$A$13:$E$97,3,0)&amp;""</f>
        <v/>
      </c>
      <c r="D71" s="35" t="str">
        <f>IF(LEFT(VLOOKUP($A71,Privacy!$A$13:$E$97,5,0),21)='Auto Responses'!$A$32,'Auto Responses'!$A$33,VLOOKUP($A71,Privacy!$A$13:$E$97,4,0))&amp;""</f>
        <v/>
      </c>
      <c r="E71" s="331"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9"/>
      <c r="G71" s="31" t="str">
        <f>VLOOKUP($A71,Questions!$A$2:$X$333,21,0)&amp;""</f>
        <v>No</v>
      </c>
      <c r="H71" s="186"/>
      <c r="I71" s="46" t="str">
        <f>VLOOKUP($A71,Questions!$A$2:$X$333,23,0)&amp;""</f>
        <v>Minor Importance</v>
      </c>
      <c r="J71" s="186"/>
      <c r="K71" s="49" t="b">
        <v>0</v>
      </c>
      <c r="L71" s="1"/>
    </row>
    <row r="72" spans="1:12" s="30" customFormat="1" ht="48" customHeight="1" x14ac:dyDescent="0.2">
      <c r="A72" s="19" t="s">
        <v>733</v>
      </c>
      <c r="B72" s="18" t="str">
        <f>VLOOKUP($A72,Questions!$A$2:$X$333,2,0)</f>
        <v>Do you capture device information (e.g., IP address, MAC address)?</v>
      </c>
      <c r="C72" s="46" t="str">
        <f>VLOOKUP($A72,Privacy!$A$13:$E$97,3,0)&amp;""</f>
        <v/>
      </c>
      <c r="D72" s="35" t="str">
        <f>IF(LEFT(VLOOKUP($A72,Privacy!$A$13:$E$97,5,0),21)='Auto Responses'!$A$32,'Auto Responses'!$A$33,VLOOKUP($A72,Privacy!$A$13:$E$97,4,0))&amp;""</f>
        <v/>
      </c>
      <c r="E72" s="331" t="str">
        <f>VLOOKUP($A72,Privacy!$A$13:$E$97,5,0)&amp;""</f>
        <v>Device information can be captured for a variety of reasons, from analytics to marketing to network management and security. It is important to know the details in order to be clear on the privacy implications.</v>
      </c>
      <c r="F72" s="189"/>
      <c r="G72" s="31" t="str">
        <f>VLOOKUP($A72,Questions!$A$2:$X$333,21,0)&amp;""</f>
        <v>No</v>
      </c>
      <c r="H72" s="186"/>
      <c r="I72" s="46" t="str">
        <f>VLOOKUP($A72,Questions!$A$2:$X$333,23,0)&amp;""</f>
        <v>Minor Importance</v>
      </c>
      <c r="J72" s="186"/>
      <c r="K72" s="49" t="b">
        <v>0</v>
      </c>
      <c r="L72" s="1"/>
    </row>
    <row r="73" spans="1:12" s="30" customFormat="1" ht="48" customHeight="1" x14ac:dyDescent="0.2">
      <c r="A73" s="19" t="s">
        <v>734</v>
      </c>
      <c r="B73" s="18" t="str">
        <f>VLOOKUP($A73,Questions!$A$2:$X$333,2,0)</f>
        <v>Does any part of this service/project involve a web/app tracking component (e.g., use of web-tracking pixels, cookies)?</v>
      </c>
      <c r="C73" s="46" t="str">
        <f>VLOOKUP($A73,Privacy!$A$13:$E$97,3,0)&amp;""</f>
        <v/>
      </c>
      <c r="D73" s="35" t="str">
        <f>IF(LEFT(VLOOKUP($A73,Privacy!$A$13:$E$97,5,0),21)='Auto Responses'!$A$32,'Auto Responses'!$A$33,VLOOKUP($A73,Privacy!$A$13:$E$97,4,0))&amp;""</f>
        <v/>
      </c>
      <c r="E73" s="331" t="str">
        <f>VLOOKUP($A73,Privacy!$A$13:$E$97,5,0)&amp;""</f>
        <v>Web tracking can be used to identify users via their IP address, login information, browser information, etc.</v>
      </c>
      <c r="F73" s="189"/>
      <c r="G73" s="31" t="str">
        <f>VLOOKUP($A73,Questions!$A$2:$X$333,21,0)&amp;""</f>
        <v>No</v>
      </c>
      <c r="H73" s="186"/>
      <c r="I73" s="46" t="str">
        <f>VLOOKUP($A73,Questions!$A$2:$X$333,23,0)&amp;""</f>
        <v>Minor Importance</v>
      </c>
      <c r="J73" s="186"/>
      <c r="K73" s="49" t="b">
        <v>0</v>
      </c>
      <c r="L73" s="1"/>
    </row>
    <row r="74" spans="1:12" s="30" customFormat="1" ht="48" customHeight="1" x14ac:dyDescent="0.2">
      <c r="A74" s="19" t="s">
        <v>735</v>
      </c>
      <c r="B74" s="18" t="str">
        <f>VLOOKUP($A74,Questions!$A$2:$X$333,2,0)</f>
        <v>Does your staff (or a third party) have access to institutional data (e.g., financial, PHI, or other sensitive information) through any means?</v>
      </c>
      <c r="C74" s="46" t="str">
        <f>VLOOKUP($A74,Privacy!$A$13:$E$97,3,0)&amp;""</f>
        <v/>
      </c>
      <c r="D74" s="35" t="str">
        <f>IF(LEFT(VLOOKUP($A74,Privacy!$A$13:$E$97,5,0),21)='Auto Responses'!$A$32,'Auto Responses'!$A$33,VLOOKUP($A74,Privacy!$A$13:$E$97,4,0))&amp;""</f>
        <v/>
      </c>
      <c r="E74" s="331" t="str">
        <f>VLOOKUP($A74,Privacy!$A$13:$E$97,5,0)&amp;""</f>
        <v>Accessing institutional data may be necessary for legitimate business purposes.</v>
      </c>
      <c r="F74" s="189"/>
      <c r="G74" s="31" t="str">
        <f>VLOOKUP($A74,Questions!$A$2:$X$333,21,0)&amp;""</f>
        <v>No</v>
      </c>
      <c r="H74" s="186"/>
      <c r="I74" s="46" t="str">
        <f>VLOOKUP($A74,Questions!$A$2:$X$333,23,0)&amp;""</f>
        <v>Minor Importance</v>
      </c>
      <c r="J74" s="186"/>
      <c r="K74" s="49" t="b">
        <v>0</v>
      </c>
      <c r="L74" s="1"/>
    </row>
    <row r="75" spans="1:12" s="30" customFormat="1" ht="48" customHeight="1" x14ac:dyDescent="0.2">
      <c r="A75" s="19" t="s">
        <v>737</v>
      </c>
      <c r="B75" s="18" t="str">
        <f>VLOOKUP($A75,Questions!$A$2:$X$333,2,0)</f>
        <v>Will you handle personal data in a manner compliant with all relevant laws, regulations, and applicable institution policies?</v>
      </c>
      <c r="C75" s="46" t="str">
        <f>VLOOKUP($A75,Privacy!$A$13:$E$97,3,0)&amp;""</f>
        <v/>
      </c>
      <c r="D75" s="35" t="str">
        <f>IF(LEFT(VLOOKUP($A75,Privacy!$A$13:$E$97,5,0),21)='Auto Responses'!$A$32,'Auto Responses'!$A$33,VLOOKUP($A75,Privacy!$A$13:$E$97,4,0))&amp;""</f>
        <v/>
      </c>
      <c r="E75" s="331" t="str">
        <f>VLOOKUP($A75,Privacy!$A$13:$E$97,5,0)&amp;""</f>
        <v/>
      </c>
      <c r="F75" s="189"/>
      <c r="G75" s="31" t="str">
        <f>VLOOKUP($A75,Questions!$A$2:$X$333,21,0)&amp;""</f>
        <v>Yes</v>
      </c>
      <c r="H75" s="186"/>
      <c r="I75" s="46" t="str">
        <f>VLOOKUP($A75,Questions!$A$2:$X$333,23,0)&amp;""</f>
        <v>Minor Importance</v>
      </c>
      <c r="J75" s="186"/>
      <c r="K75" s="49" t="b">
        <v>0</v>
      </c>
      <c r="L75" s="1"/>
    </row>
    <row r="76" spans="1:12" s="1" customFormat="1" ht="37.35" customHeight="1" x14ac:dyDescent="0.2">
      <c r="A76" s="64" t="str">
        <f>VLOOKUP(LEFT($A77,4),'Auto Responses'!$N$4:$O$38,2,0)&amp;""</f>
        <v xml:space="preserve"> Privacy Policies and Procedures</v>
      </c>
      <c r="B76" s="23"/>
      <c r="C76" s="32"/>
      <c r="D76" s="32"/>
      <c r="E76" s="332"/>
      <c r="F76" s="133" t="s">
        <v>1066</v>
      </c>
      <c r="G76" s="336" t="s">
        <v>904</v>
      </c>
      <c r="H76" s="336" t="s">
        <v>906</v>
      </c>
      <c r="I76" s="336" t="s">
        <v>19</v>
      </c>
      <c r="J76" s="336" t="s">
        <v>891</v>
      </c>
      <c r="K76" s="32"/>
    </row>
    <row r="77" spans="1:12" s="30" customFormat="1" ht="48" customHeight="1" x14ac:dyDescent="0.2">
      <c r="A77" s="19" t="s">
        <v>738</v>
      </c>
      <c r="B77" s="18" t="str">
        <f>VLOOKUP($A77,Questions!$A$2:$X$333,2,0)</f>
        <v>Do you have a documented privacy management process?</v>
      </c>
      <c r="C77" s="46" t="str">
        <f>VLOOKUP($A77,Privacy!$A$13:$E$97,3,0)&amp;""</f>
        <v/>
      </c>
      <c r="D77" s="35" t="str">
        <f>IF(LEFT(VLOOKUP($A77,Privacy!$A$13:$E$97,5,0),21)='Auto Responses'!$A$32,'Auto Responses'!$A$33,VLOOKUP($A77,Privacy!$A$13:$E$97,4,0))&amp;""</f>
        <v/>
      </c>
      <c r="E77" s="331" t="str">
        <f>VLOOKUP($A77,Privacy!$A$13:$E$97,5,0)&amp;""</f>
        <v/>
      </c>
      <c r="F77" s="189"/>
      <c r="G77" s="31" t="str">
        <f>VLOOKUP($A77,Questions!$A$2:$X$333,21,0)&amp;""</f>
        <v>Yes</v>
      </c>
      <c r="H77" s="186"/>
      <c r="I77" s="46" t="str">
        <f>VLOOKUP($A77,Questions!$A$2:$X$333,23,0)&amp;""</f>
        <v>Minor Importance</v>
      </c>
      <c r="J77" s="186"/>
      <c r="K77" s="49" t="b">
        <v>0</v>
      </c>
      <c r="L77" s="1"/>
    </row>
    <row r="78" spans="1:12" s="30" customFormat="1" ht="48" customHeight="1" x14ac:dyDescent="0.2">
      <c r="A78" s="19" t="s">
        <v>741</v>
      </c>
      <c r="B78" s="18" t="str">
        <f>VLOOKUP($A78,Questions!$A$2:$X$333,2,0)</f>
        <v>Are privacy principles designed into the product lifecycle (i.e., privacy-by-design)?</v>
      </c>
      <c r="C78" s="46" t="str">
        <f>VLOOKUP($A78,Privacy!$A$13:$E$97,3,0)&amp;""</f>
        <v/>
      </c>
      <c r="D78" s="35" t="str">
        <f>IF(LEFT(VLOOKUP($A78,Privacy!$A$13:$E$97,5,0),21)='Auto Responses'!$A$32,'Auto Responses'!$A$33,VLOOKUP($A78,Privacy!$A$13:$E$97,4,0))&amp;""</f>
        <v/>
      </c>
      <c r="E78" s="331"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9"/>
      <c r="G78" s="31" t="str">
        <f>VLOOKUP($A78,Questions!$A$2:$X$333,21,0)&amp;""</f>
        <v>Yes</v>
      </c>
      <c r="H78" s="186"/>
      <c r="I78" s="46" t="str">
        <f>VLOOKUP($A78,Questions!$A$2:$X$333,23,0)&amp;""</f>
        <v>Minor Importance</v>
      </c>
      <c r="J78" s="186"/>
      <c r="K78" s="49" t="b">
        <v>0</v>
      </c>
      <c r="L78" s="1"/>
    </row>
    <row r="79" spans="1:12" s="30" customFormat="1" ht="48" customHeight="1" x14ac:dyDescent="0.2">
      <c r="A79" s="19" t="s">
        <v>744</v>
      </c>
      <c r="B79" s="18" t="str">
        <f>VLOOKUP($A79,Questions!$A$2:$X$333,2,0)</f>
        <v>Will you comply with applicable breach notification laws?</v>
      </c>
      <c r="C79" s="46" t="str">
        <f>VLOOKUP($A79,Privacy!$A$13:$E$97,3,0)&amp;""</f>
        <v/>
      </c>
      <c r="D79" s="35" t="str">
        <f>IF(LEFT(VLOOKUP($A79,Privacy!$A$13:$E$97,5,0),21)='Auto Responses'!$A$32,'Auto Responses'!$A$33,VLOOKUP($A79,Privacy!$A$13:$E$97,4,0))&amp;""</f>
        <v/>
      </c>
      <c r="E79" s="331" t="str">
        <f>VLOOKUP($A79,Privacy!$A$13:$E$97,5,0)&amp;""</f>
        <v/>
      </c>
      <c r="F79" s="189"/>
      <c r="G79" s="31" t="str">
        <f>VLOOKUP($A79,Questions!$A$2:$X$333,21,0)&amp;""</f>
        <v>Yes</v>
      </c>
      <c r="H79" s="186"/>
      <c r="I79" s="46" t="str">
        <f>VLOOKUP($A79,Questions!$A$2:$X$333,23,0)&amp;""</f>
        <v>Standard Importance</v>
      </c>
      <c r="J79" s="186"/>
      <c r="K79" s="49" t="b">
        <v>0</v>
      </c>
      <c r="L79" s="1"/>
    </row>
    <row r="80" spans="1:12" s="30" customFormat="1" ht="48" customHeight="1" x14ac:dyDescent="0.2">
      <c r="A80" s="19" t="s">
        <v>746</v>
      </c>
      <c r="B80" s="18" t="str">
        <f>VLOOKUP($A80,Questions!$A$2:$X$333,2,0)</f>
        <v>Will you comply with the institution's policies regarding user privacy and data protection?</v>
      </c>
      <c r="C80" s="46" t="str">
        <f>VLOOKUP($A80,Privacy!$A$13:$E$97,3,0)&amp;""</f>
        <v/>
      </c>
      <c r="D80" s="35" t="str">
        <f>IF(LEFT(VLOOKUP($A80,Privacy!$A$13:$E$97,5,0),21)='Auto Responses'!$A$32,'Auto Responses'!$A$33,VLOOKUP($A80,Privacy!$A$13:$E$97,4,0))&amp;""</f>
        <v/>
      </c>
      <c r="E80" s="331" t="str">
        <f>VLOOKUP($A80,Privacy!$A$13:$E$97,5,0)&amp;""</f>
        <v>These policies may include specific user consent practices, data classification standards, and handling of sensitive information.</v>
      </c>
      <c r="F80" s="189"/>
      <c r="G80" s="31" t="str">
        <f>VLOOKUP($A80,Questions!$A$2:$X$333,21,0)&amp;""</f>
        <v>Yes</v>
      </c>
      <c r="H80" s="186"/>
      <c r="I80" s="46" t="str">
        <f>VLOOKUP($A80,Questions!$A$2:$X$333,23,0)&amp;""</f>
        <v>Minor Importance</v>
      </c>
      <c r="J80" s="186"/>
      <c r="K80" s="49" t="b">
        <v>0</v>
      </c>
      <c r="L80" s="1"/>
    </row>
    <row r="81" spans="1:12" s="30" customFormat="1" ht="48" customHeight="1" x14ac:dyDescent="0.2">
      <c r="A81" s="19" t="s">
        <v>748</v>
      </c>
      <c r="B81" s="18" t="str">
        <f>VLOOKUP($A81,Questions!$A$2:$X$333,2,0)</f>
        <v>Is your company subject to the laws and regulations of the institution's geographic region?</v>
      </c>
      <c r="C81" s="46" t="str">
        <f>VLOOKUP($A81,Privacy!$A$13:$E$97,3,0)&amp;""</f>
        <v/>
      </c>
      <c r="D81" s="35" t="str">
        <f>IF(LEFT(VLOOKUP($A81,Privacy!$A$13:$E$97,5,0),21)='Auto Responses'!$A$32,'Auto Responses'!$A$33,VLOOKUP($A81,Privacy!$A$13:$E$97,4,0))&amp;""</f>
        <v/>
      </c>
      <c r="E81" s="331" t="str">
        <f>VLOOKUP($A81,Privacy!$A$13:$E$97,5,0)&amp;""</f>
        <v>Indicates whether your organization is legally bound by state, federal, or local laws where the institution operates.</v>
      </c>
      <c r="F81" s="189"/>
      <c r="G81" s="31" t="str">
        <f>VLOOKUP($A81,Questions!$A$2:$X$333,21,0)&amp;""</f>
        <v>Yes</v>
      </c>
      <c r="H81" s="186"/>
      <c r="I81" s="46" t="str">
        <f>VLOOKUP($A81,Questions!$A$2:$X$333,23,0)&amp;""</f>
        <v>Minor Importance</v>
      </c>
      <c r="J81" s="186"/>
      <c r="K81" s="49" t="b">
        <v>0</v>
      </c>
      <c r="L81" s="1"/>
    </row>
    <row r="82" spans="1:12" s="30" customFormat="1" ht="48" customHeight="1" x14ac:dyDescent="0.2">
      <c r="A82" s="19" t="s">
        <v>750</v>
      </c>
      <c r="B82" s="18" t="str">
        <f>VLOOKUP($A82,Questions!$A$2:$X$333,2,0)</f>
        <v>Do you have a privacy awareness/training program?*</v>
      </c>
      <c r="C82" s="46" t="str">
        <f>VLOOKUP($A82,Privacy!$A$13:$E$97,3,0)&amp;""</f>
        <v/>
      </c>
      <c r="D82" s="35" t="str">
        <f>IF(LEFT(VLOOKUP($A82,Privacy!$A$13:$E$97,5,0),21)='Auto Responses'!$A$32,'Auto Responses'!$A$33,VLOOKUP($A82,Privacy!$A$13:$E$97,4,0))&amp;""</f>
        <v/>
      </c>
      <c r="E82" s="331"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9"/>
      <c r="G82" s="31" t="str">
        <f>VLOOKUP($A82,Questions!$A$2:$X$333,21,0)&amp;""</f>
        <v>Yes</v>
      </c>
      <c r="H82" s="186"/>
      <c r="I82" s="46" t="str">
        <f>VLOOKUP($A82,Questions!$A$2:$X$333,23,0)&amp;""</f>
        <v>Critical Importance</v>
      </c>
      <c r="J82" s="186"/>
      <c r="K82" s="49" t="b">
        <v>0</v>
      </c>
      <c r="L82" s="1"/>
    </row>
    <row r="83" spans="1:12" s="30" customFormat="1" ht="48" customHeight="1" x14ac:dyDescent="0.2">
      <c r="A83" s="19" t="s">
        <v>751</v>
      </c>
      <c r="B83" s="18" t="str">
        <f>VLOOKUP($A83,Questions!$A$2:$X$333,2,0)</f>
        <v>Is privacy awareness training mandatory for all employees?</v>
      </c>
      <c r="C83" s="46" t="str">
        <f>VLOOKUP($A83,Privacy!$A$13:$E$97,3,0)&amp;""</f>
        <v/>
      </c>
      <c r="D83" s="35" t="str">
        <f>IF(LEFT(VLOOKUP($A83,Privacy!$A$13:$E$97,5,0),21)='Auto Responses'!$A$32,'Auto Responses'!$A$33,VLOOKUP($A83,Privacy!$A$13:$E$97,4,0))&amp;""</f>
        <v/>
      </c>
      <c r="E83" s="331" t="str">
        <f>VLOOKUP($A83,Privacy!$A$13:$E$97,5,0)&amp;""</f>
        <v/>
      </c>
      <c r="F83" s="189"/>
      <c r="G83" s="31" t="str">
        <f>VLOOKUP($A83,Questions!$A$2:$X$333,21,0)&amp;""</f>
        <v>Yes</v>
      </c>
      <c r="H83" s="186"/>
      <c r="I83" s="46" t="str">
        <f>VLOOKUP($A83,Questions!$A$2:$X$333,23,0)&amp;""</f>
        <v>Minor Importance</v>
      </c>
      <c r="J83" s="186"/>
      <c r="K83" s="49" t="b">
        <v>0</v>
      </c>
      <c r="L83" s="1"/>
    </row>
    <row r="84" spans="1:12" s="30" customFormat="1" ht="48" customHeight="1" x14ac:dyDescent="0.2">
      <c r="A84" s="19" t="s">
        <v>754</v>
      </c>
      <c r="B84" s="18" t="str">
        <f>VLOOKUP($A84,Questions!$A$2:$X$333,2,0)</f>
        <v>Is AI privacy and ethics awareness/training required for all employees who work with AI?</v>
      </c>
      <c r="C84" s="46" t="str">
        <f>VLOOKUP($A84,Privacy!$A$13:$E$97,3,0)&amp;""</f>
        <v/>
      </c>
      <c r="D84" s="35" t="str">
        <f>IF(LEFT(VLOOKUP($A84,Privacy!$A$13:$E$97,5,0),21)='Auto Responses'!$A$32,'Auto Responses'!$A$33,VLOOKUP($A84,Privacy!$A$13:$E$97,4,0))&amp;""</f>
        <v/>
      </c>
      <c r="E84" s="331" t="str">
        <f>VLOOKUP($A84,Privacy!$A$13:$E$97,5,0)&amp;""</f>
        <v/>
      </c>
      <c r="F84" s="189"/>
      <c r="G84" s="31" t="str">
        <f>VLOOKUP($A84,Questions!$A$2:$X$333,21,0)&amp;""</f>
        <v>Yes</v>
      </c>
      <c r="H84" s="186"/>
      <c r="I84" s="46" t="str">
        <f>VLOOKUP($A84,Questions!$A$2:$X$333,23,0)&amp;""</f>
        <v>Minor Importance</v>
      </c>
      <c r="J84" s="186"/>
      <c r="K84" s="49" t="b">
        <v>0</v>
      </c>
      <c r="L84" s="1"/>
    </row>
    <row r="85" spans="1:12" s="30" customFormat="1" ht="48" customHeight="1" x14ac:dyDescent="0.2">
      <c r="A85" s="19" t="s">
        <v>757</v>
      </c>
      <c r="B85" s="18" t="str">
        <f>VLOOKUP($A85,Questions!$A$2:$X$333,2,0)</f>
        <v>Do you have any decision-making processes that are completely automated (i.e., there is no human involvement)?</v>
      </c>
      <c r="C85" s="46" t="str">
        <f>VLOOKUP($A85,Privacy!$A$13:$E$97,3,0)&amp;""</f>
        <v/>
      </c>
      <c r="D85" s="35" t="str">
        <f>IF(LEFT(VLOOKUP($A85,Privacy!$A$13:$E$97,5,0),21)='Auto Responses'!$A$32,'Auto Responses'!$A$33,VLOOKUP($A85,Privacy!$A$13:$E$97,4,0))&amp;""</f>
        <v/>
      </c>
      <c r="E85" s="331"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9"/>
      <c r="G85" s="31" t="str">
        <f>VLOOKUP($A85,Questions!$A$2:$X$333,21,0)&amp;""</f>
        <v>No</v>
      </c>
      <c r="H85" s="186"/>
      <c r="I85" s="46" t="str">
        <f>VLOOKUP($A85,Questions!$A$2:$X$333,23,0)&amp;""</f>
        <v>Minor Importance</v>
      </c>
      <c r="J85" s="186"/>
      <c r="K85" s="49" t="b">
        <v>0</v>
      </c>
      <c r="L85" s="1"/>
    </row>
    <row r="86" spans="1:12" s="30" customFormat="1" ht="48" customHeight="1" x14ac:dyDescent="0.2">
      <c r="A86" s="19" t="s">
        <v>758</v>
      </c>
      <c r="B86" s="18" t="str">
        <f>VLOOKUP($A86,Questions!$A$2:$X$333,2,0)</f>
        <v>Do you have a documented process for managing automated processing, including validations, monitoring, and data subject requests?</v>
      </c>
      <c r="C86" s="46" t="str">
        <f>VLOOKUP($A86,Privacy!$A$13:$E$97,3,0)&amp;""</f>
        <v/>
      </c>
      <c r="D86" s="35" t="str">
        <f>IF(LEFT(VLOOKUP($A86,Privacy!$A$13:$E$97,5,0),21)='Auto Responses'!$A$32,'Auto Responses'!$A$33,VLOOKUP($A86,Privacy!$A$13:$E$97,4,0))&amp;""</f>
        <v/>
      </c>
      <c r="E86" s="331" t="str">
        <f>VLOOKUP($A86,Privacy!$A$13:$E$97,5,0)&amp;""</f>
        <v/>
      </c>
      <c r="F86" s="189"/>
      <c r="G86" s="31" t="str">
        <f>VLOOKUP($A86,Questions!$A$2:$X$333,21,0)&amp;""</f>
        <v>Yes</v>
      </c>
      <c r="H86" s="186"/>
      <c r="I86" s="46" t="str">
        <f>VLOOKUP($A86,Questions!$A$2:$X$333,23,0)&amp;""</f>
        <v>Minor Importance</v>
      </c>
      <c r="J86" s="186"/>
      <c r="K86" s="49" t="b">
        <v>0</v>
      </c>
      <c r="L86" s="1"/>
    </row>
    <row r="87" spans="1:12" s="30" customFormat="1" ht="48" customHeight="1" x14ac:dyDescent="0.2">
      <c r="A87" s="19" t="s">
        <v>760</v>
      </c>
      <c r="B87" s="18" t="str">
        <f>VLOOKUP($A87,Questions!$A$2:$X$333,2,0)</f>
        <v>Do you have a documented policy for sharing information with law enforcement?</v>
      </c>
      <c r="C87" s="46" t="str">
        <f>VLOOKUP($A87,Privacy!$A$13:$E$97,3,0)&amp;""</f>
        <v/>
      </c>
      <c r="D87" s="35" t="str">
        <f>IF(LEFT(VLOOKUP($A87,Privacy!$A$13:$E$97,5,0),21)='Auto Responses'!$A$32,'Auto Responses'!$A$33,VLOOKUP($A87,Privacy!$A$13:$E$97,4,0))&amp;""</f>
        <v/>
      </c>
      <c r="E87" s="331" t="str">
        <f>VLOOKUP($A87,Privacy!$A$13:$E$97,5,0)&amp;""</f>
        <v/>
      </c>
      <c r="F87" s="189"/>
      <c r="G87" s="31" t="str">
        <f>VLOOKUP($A87,Questions!$A$2:$X$333,21,0)&amp;""</f>
        <v>Yes</v>
      </c>
      <c r="H87" s="186"/>
      <c r="I87" s="46" t="str">
        <f>VLOOKUP($A87,Questions!$A$2:$X$333,23,0)&amp;""</f>
        <v>Minor Importance</v>
      </c>
      <c r="J87" s="186"/>
      <c r="K87" s="49" t="b">
        <v>0</v>
      </c>
      <c r="L87" s="1"/>
    </row>
    <row r="88" spans="1:12" s="30" customFormat="1" ht="48" customHeight="1" x14ac:dyDescent="0.2">
      <c r="A88" s="19" t="s">
        <v>763</v>
      </c>
      <c r="B88" s="18" t="str">
        <f>VLOOKUP($A88,Questions!$A$2:$X$333,2,0)</f>
        <v>Do you share any institutional data with law enforcement without a valid warrant or subpoena?*</v>
      </c>
      <c r="C88" s="46" t="str">
        <f>VLOOKUP($A88,Privacy!$A$13:$E$97,3,0)&amp;""</f>
        <v/>
      </c>
      <c r="D88" s="35" t="str">
        <f>IF(LEFT(VLOOKUP($A88,Privacy!$A$13:$E$97,5,0),21)='Auto Responses'!$A$32,'Auto Responses'!$A$33,VLOOKUP($A88,Privacy!$A$13:$E$97,4,0))&amp;""</f>
        <v/>
      </c>
      <c r="E88" s="331" t="str">
        <f>VLOOKUP($A88,Privacy!$A$13:$E$97,5,0)&amp;""</f>
        <v/>
      </c>
      <c r="F88" s="189"/>
      <c r="G88" s="31" t="str">
        <f>VLOOKUP($A88,Questions!$A$2:$X$333,21,0)&amp;""</f>
        <v>No</v>
      </c>
      <c r="H88" s="186"/>
      <c r="I88" s="46" t="str">
        <f>VLOOKUP($A88,Questions!$A$2:$X$333,23,0)&amp;""</f>
        <v>Critical Importance</v>
      </c>
      <c r="J88" s="186"/>
      <c r="K88" s="49" t="b">
        <v>0</v>
      </c>
      <c r="L88" s="1"/>
    </row>
    <row r="89" spans="1:12" s="30" customFormat="1" ht="48" customHeight="1" x14ac:dyDescent="0.2">
      <c r="A89" s="19" t="s">
        <v>764</v>
      </c>
      <c r="B89" s="18" t="str">
        <f>VLOOKUP($A89,Questions!$A$2:$X$333,2,0)</f>
        <v>Does your incident response team include a privacy analyst/officer?</v>
      </c>
      <c r="C89" s="46" t="str">
        <f>VLOOKUP($A89,Privacy!$A$13:$E$97,3,0)&amp;""</f>
        <v/>
      </c>
      <c r="D89" s="35" t="str">
        <f>IF(LEFT(VLOOKUP($A89,Privacy!$A$13:$E$97,5,0),21)='Auto Responses'!$A$32,'Auto Responses'!$A$33,VLOOKUP($A89,Privacy!$A$13:$E$97,4,0))&amp;""</f>
        <v/>
      </c>
      <c r="E89" s="331" t="str">
        <f>VLOOKUP($A89,Privacy!$A$13:$E$97,5,0)&amp;""</f>
        <v>Provide an overview of your incident response team membership and its charge, highlighting the privacy analyst/officer.</v>
      </c>
      <c r="F89" s="189"/>
      <c r="G89" s="31" t="str">
        <f>VLOOKUP($A89,Questions!$A$2:$X$333,21,0)&amp;""</f>
        <v>Yes</v>
      </c>
      <c r="H89" s="186"/>
      <c r="I89" s="46" t="str">
        <f>VLOOKUP($A89,Questions!$A$2:$X$333,23,0)&amp;""</f>
        <v>Minor Importance</v>
      </c>
      <c r="J89" s="186"/>
      <c r="K89" s="49" t="b">
        <v>0</v>
      </c>
      <c r="L89" s="1"/>
    </row>
    <row r="90" spans="1:12" s="1" customFormat="1" ht="37.35" customHeight="1" x14ac:dyDescent="0.2">
      <c r="A90" s="64" t="str">
        <f>VLOOKUP(LEFT($A91,4),'Auto Responses'!$N$4:$O$38,2,0)&amp;""</f>
        <v xml:space="preserve"> International Privacy</v>
      </c>
      <c r="B90" s="23"/>
      <c r="C90" s="32"/>
      <c r="D90" s="32"/>
      <c r="E90" s="332"/>
      <c r="F90" s="133" t="s">
        <v>1066</v>
      </c>
      <c r="G90" s="336" t="s">
        <v>904</v>
      </c>
      <c r="H90" s="336" t="s">
        <v>906</v>
      </c>
      <c r="I90" s="336" t="s">
        <v>19</v>
      </c>
      <c r="J90" s="336" t="s">
        <v>891</v>
      </c>
      <c r="K90" s="32"/>
    </row>
    <row r="91" spans="1:12" s="30" customFormat="1" ht="48" customHeight="1" x14ac:dyDescent="0.2">
      <c r="A91" s="19" t="s">
        <v>766</v>
      </c>
      <c r="B91" s="18" t="str">
        <f>VLOOKUP($A91,Questions!$A$2:$X$333,2,0)</f>
        <v>Will data be collected from or processed in or stored in the European Economic Area (EEA)?</v>
      </c>
      <c r="C91" s="46" t="str">
        <f>VLOOKUP($A91,Privacy!$A$13:$E$97,3,0)&amp;""</f>
        <v/>
      </c>
      <c r="D91" s="35" t="str">
        <f>IF(LEFT(VLOOKUP($A91,Privacy!$A$13:$E$97,5,0),21)='Auto Responses'!$A$32,'Auto Responses'!$A$33,VLOOKUP($A91,Privacy!$A$13:$E$97,4,0))&amp;""</f>
        <v/>
      </c>
      <c r="E91" s="331" t="str">
        <f>VLOOKUP($A91,Privacy!$A$13:$E$97,5,0)&amp;""</f>
        <v>See GDPR Chapter 1, Art. 4, for definitions.</v>
      </c>
      <c r="F91" s="189"/>
      <c r="G91" s="31" t="str">
        <f>VLOOKUP($A91,Questions!$A$2:$X$333,21,0)&amp;""</f>
        <v>No</v>
      </c>
      <c r="H91" s="186"/>
      <c r="I91" s="46" t="str">
        <f>VLOOKUP($A91,Questions!$A$2:$X$333,23,0)&amp;""</f>
        <v>Standard Importance</v>
      </c>
      <c r="J91" s="186"/>
      <c r="K91" s="49" t="b">
        <v>0</v>
      </c>
      <c r="L91" s="1"/>
    </row>
    <row r="92" spans="1:12" s="30" customFormat="1" ht="48" customHeight="1" x14ac:dyDescent="0.2">
      <c r="A92" s="19" t="s">
        <v>769</v>
      </c>
      <c r="B92" s="18" t="str">
        <f>VLOOKUP($A92,Questions!$A$2:$X$333,2,0)</f>
        <v>Do you have a data protection officer (DPO)?</v>
      </c>
      <c r="C92" s="46" t="str">
        <f>VLOOKUP($A92,Privacy!$A$13:$E$97,3,0)&amp;""</f>
        <v/>
      </c>
      <c r="D92" s="35" t="str">
        <f>IF(LEFT(VLOOKUP($A92,Privacy!$A$13:$E$97,5,0),21)='Auto Responses'!$A$32,'Auto Responses'!$A$33,VLOOKUP($A92,Privacy!$A$13:$E$97,4,0))&amp;""</f>
        <v/>
      </c>
      <c r="E92" s="331" t="str">
        <f>VLOOKUP($A92,Privacy!$A$13:$E$97,5,0)&amp;""</f>
        <v>See GDPR Chapter 4, Section 4, for DPO information.</v>
      </c>
      <c r="F92" s="189"/>
      <c r="G92" s="31" t="str">
        <f>VLOOKUP($A92,Questions!$A$2:$X$333,21,0)&amp;""</f>
        <v>Yes</v>
      </c>
      <c r="H92" s="186"/>
      <c r="I92" s="46" t="str">
        <f>VLOOKUP($A92,Questions!$A$2:$X$333,23,0)&amp;""</f>
        <v>Standard Importance</v>
      </c>
      <c r="J92" s="186"/>
      <c r="K92" s="49" t="b">
        <v>0</v>
      </c>
      <c r="L92" s="1"/>
    </row>
    <row r="93" spans="1:12" s="30" customFormat="1" ht="48" customHeight="1" x14ac:dyDescent="0.2">
      <c r="A93" s="19" t="s">
        <v>771</v>
      </c>
      <c r="B93" s="18" t="str">
        <f>VLOOKUP($A93,Questions!$A$2:$X$333,2,0)</f>
        <v>Will you sign appropriate GDPR Standard Contractual Clauses (SCCs) with the institution?</v>
      </c>
      <c r="C93" s="46" t="str">
        <f>VLOOKUP($A93,Privacy!$A$13:$E$97,3,0)&amp;""</f>
        <v/>
      </c>
      <c r="D93" s="35" t="str">
        <f>IF(LEFT(VLOOKUP($A93,Privacy!$A$13:$E$97,5,0),21)='Auto Responses'!$A$32,'Auto Responses'!$A$33,VLOOKUP($A93,Privacy!$A$13:$E$97,4,0))&amp;""</f>
        <v/>
      </c>
      <c r="E93" s="331" t="str">
        <f>VLOOKUP($A93,Privacy!$A$13:$E$97,5,0)&amp;""</f>
        <v>See GDPR Chapter 5, Art. 46, for SCC information.</v>
      </c>
      <c r="F93" s="189"/>
      <c r="G93" s="31" t="str">
        <f>VLOOKUP($A93,Questions!$A$2:$X$333,21,0)&amp;""</f>
        <v>Yes</v>
      </c>
      <c r="H93" s="186"/>
      <c r="I93" s="46" t="str">
        <f>VLOOKUP($A93,Questions!$A$2:$X$333,23,0)&amp;""</f>
        <v>Standard Importance</v>
      </c>
      <c r="J93" s="186"/>
      <c r="K93" s="49" t="b">
        <v>0</v>
      </c>
      <c r="L93" s="1"/>
    </row>
    <row r="94" spans="1:12" s="30" customFormat="1" ht="48" customHeight="1" x14ac:dyDescent="0.2">
      <c r="A94" s="19" t="s">
        <v>773</v>
      </c>
      <c r="B94" s="18" t="str">
        <f>VLOOKUP($A94,Questions!$A$2:$X$333,2,0)</f>
        <v>Will data be collected from or processed in or stored in China?</v>
      </c>
      <c r="C94" s="46" t="str">
        <f>VLOOKUP($A94,Privacy!$A$13:$E$97,3,0)&amp;""</f>
        <v/>
      </c>
      <c r="D94" s="35" t="str">
        <f>IF(LEFT(VLOOKUP($A94,Privacy!$A$13:$E$97,5,0),21)='Auto Responses'!$A$32,'Auto Responses'!$A$33,VLOOKUP($A94,Privacy!$A$13:$E$97,4,0))&amp;""</f>
        <v/>
      </c>
      <c r="E94" s="331" t="str">
        <f>VLOOKUP($A94,Privacy!$A$13:$E$97,5,0)&amp;""</f>
        <v>See PIPL Chapter 1 for definitions.</v>
      </c>
      <c r="F94" s="189"/>
      <c r="G94" s="31" t="str">
        <f>VLOOKUP($A94,Questions!$A$2:$X$333,21,0)&amp;""</f>
        <v>No</v>
      </c>
      <c r="H94" s="186"/>
      <c r="I94" s="46" t="str">
        <f>VLOOKUP($A94,Questions!$A$2:$X$333,23,0)&amp;""</f>
        <v>Standard Importance</v>
      </c>
      <c r="J94" s="186"/>
      <c r="K94" s="49" t="b">
        <v>0</v>
      </c>
      <c r="L94" s="1"/>
    </row>
    <row r="95" spans="1:12" s="30" customFormat="1" ht="48" customHeight="1" x14ac:dyDescent="0.2">
      <c r="A95" s="19" t="s">
        <v>776</v>
      </c>
      <c r="B95" s="18" t="str">
        <f>VLOOKUP($A95,Questions!$A$2:$X$333,2,0)</f>
        <v>Do you comply with PIPL security, privacy, and data localization requirements?</v>
      </c>
      <c r="C95" s="46" t="str">
        <f>VLOOKUP($A95,Privacy!$A$13:$E$97,3,0)&amp;""</f>
        <v/>
      </c>
      <c r="D95" s="35" t="str">
        <f>IF(LEFT(VLOOKUP($A95,Privacy!$A$13:$E$97,5,0),21)='Auto Responses'!$A$32,'Auto Responses'!$A$33,VLOOKUP($A95,Privacy!$A$13:$E$97,4,0))&amp;""</f>
        <v/>
      </c>
      <c r="E95" s="331" t="str">
        <f>VLOOKUP($A95,Privacy!$A$13:$E$97,5,0)&amp;""</f>
        <v>See PIPL Chapter 5 for requirements.</v>
      </c>
      <c r="F95" s="189"/>
      <c r="G95" s="31" t="str">
        <f>VLOOKUP($A95,Questions!$A$2:$X$333,21,0)&amp;""</f>
        <v>Yes</v>
      </c>
      <c r="H95" s="186"/>
      <c r="I95" s="46" t="str">
        <f>VLOOKUP($A95,Questions!$A$2:$X$333,23,0)&amp;""</f>
        <v>Standard Importance</v>
      </c>
      <c r="J95" s="186"/>
      <c r="K95" s="49" t="b">
        <v>0</v>
      </c>
      <c r="L95" s="1"/>
    </row>
    <row r="96" spans="1:12" s="1" customFormat="1" ht="37.35" customHeight="1" x14ac:dyDescent="0.2">
      <c r="A96" s="64" t="str">
        <f>VLOOKUP(LEFT($A97,4),'Auto Responses'!$N$4:$O$38,2,0)&amp;""</f>
        <v xml:space="preserve"> Data Privacy</v>
      </c>
      <c r="B96" s="23"/>
      <c r="C96" s="32"/>
      <c r="D96" s="32"/>
      <c r="E96" s="332"/>
      <c r="F96" s="133" t="s">
        <v>1066</v>
      </c>
      <c r="G96" s="336" t="s">
        <v>904</v>
      </c>
      <c r="H96" s="336" t="s">
        <v>906</v>
      </c>
      <c r="I96" s="336" t="s">
        <v>19</v>
      </c>
      <c r="J96" s="336" t="s">
        <v>891</v>
      </c>
      <c r="K96" s="32"/>
    </row>
    <row r="97" spans="1:12" s="30" customFormat="1" ht="48" customHeight="1" x14ac:dyDescent="0.2">
      <c r="A97" s="19" t="s">
        <v>1071</v>
      </c>
      <c r="B97" s="18" t="str">
        <f>VLOOKUP($A97,Questions!$A$2:$X$333,2,0)</f>
        <v>Have you performed a Data Privacy Impact Assesssment for the solution/project?</v>
      </c>
      <c r="C97" s="46" t="str">
        <f>VLOOKUP($A97,Privacy!$A$13:$E$97,3,0)&amp;""</f>
        <v/>
      </c>
      <c r="D97" s="35" t="str">
        <f>IF(LEFT(VLOOKUP($A97,Privacy!$A$13:$E$97,5,0),21)='Auto Responses'!$A$32,'Auto Responses'!$A$33,VLOOKUP($A97,Privacy!$A$13:$E$97,4,0))&amp;""</f>
        <v/>
      </c>
      <c r="E97" s="331" t="str">
        <f>VLOOKUP($A97,Privacy!$A$13:$E$97,5,0)&amp;""</f>
        <v/>
      </c>
      <c r="F97" s="189"/>
      <c r="G97" s="31" t="str">
        <f>VLOOKUP($A97,Questions!$A$2:$X$333,21,0)&amp;""</f>
        <v>Yes</v>
      </c>
      <c r="H97" s="186"/>
      <c r="I97" s="46" t="str">
        <f>VLOOKUP($A97,Questions!$A$2:$X$333,23,0)&amp;""</f>
        <v>Standard Importance</v>
      </c>
      <c r="J97" s="186"/>
      <c r="K97" s="49" t="b">
        <v>0</v>
      </c>
      <c r="L97" s="1"/>
    </row>
    <row r="98" spans="1:12" s="30" customFormat="1" ht="70.5" customHeight="1" x14ac:dyDescent="0.2">
      <c r="A98" s="19" t="s">
        <v>1072</v>
      </c>
      <c r="B98" s="18" t="str">
        <f>VLOOKUP($A98,Questions!$A$2:$X$333,2,0)</f>
        <v>Do you provide an end-user privacy notice about privacy policies and procedures that identify the purpose(s) for which personal information is collected, used, retained, and disclosed?</v>
      </c>
      <c r="C98" s="46" t="str">
        <f>VLOOKUP($A98,Privacy!$A$13:$E$97,3,0)&amp;""</f>
        <v/>
      </c>
      <c r="D98" s="35" t="str">
        <f>IF(LEFT(VLOOKUP($A98,Privacy!$A$13:$E$97,5,0),21)='Auto Responses'!$A$32,'Auto Responses'!$A$33,VLOOKUP($A98,Privacy!$A$13:$E$97,4,0))&amp;""</f>
        <v/>
      </c>
      <c r="E98" s="331" t="str">
        <f>VLOOKUP($A98,Privacy!$A$13:$E$97,5,0)&amp;""</f>
        <v/>
      </c>
      <c r="F98" s="189"/>
      <c r="G98" s="31" t="str">
        <f>VLOOKUP($A98,Questions!$A$2:$X$333,21,0)&amp;""</f>
        <v>Yes</v>
      </c>
      <c r="H98" s="186"/>
      <c r="I98" s="46" t="str">
        <f>VLOOKUP($A98,Questions!$A$2:$X$333,23,0)&amp;""</f>
        <v>Standard Importance</v>
      </c>
      <c r="J98" s="186"/>
      <c r="K98" s="49" t="b">
        <v>0</v>
      </c>
      <c r="L98" s="1"/>
    </row>
    <row r="99" spans="1:12" s="30" customFormat="1" ht="65.25" customHeight="1" x14ac:dyDescent="0.2">
      <c r="A99" s="19" t="s">
        <v>1073</v>
      </c>
      <c r="B99" s="18" t="str">
        <f>VLOOKUP($A99,Questions!$A$2:$X$333,2,0)</f>
        <v>Do you describe the choices available to the individual and obtain implicit or explicit consent with respect to the collection, use, and disclosure of personal information?</v>
      </c>
      <c r="C99" s="46" t="str">
        <f>VLOOKUP($A99,Privacy!$A$13:$E$97,3,0)&amp;""</f>
        <v/>
      </c>
      <c r="D99" s="35" t="str">
        <f>IF(LEFT(VLOOKUP($A99,Privacy!$A$13:$E$97,5,0),21)='Auto Responses'!$A$32,'Auto Responses'!$A$33,VLOOKUP($A99,Privacy!$A$13:$E$97,4,0))&amp;""</f>
        <v/>
      </c>
      <c r="E99" s="331" t="str">
        <f>VLOOKUP($A99,Privacy!$A$13:$E$97,5,0)&amp;""</f>
        <v/>
      </c>
      <c r="F99" s="189"/>
      <c r="G99" s="31" t="str">
        <f>VLOOKUP($A99,Questions!$A$2:$X$333,21,0)&amp;""</f>
        <v>Yes</v>
      </c>
      <c r="H99" s="186"/>
      <c r="I99" s="46" t="str">
        <f>VLOOKUP($A99,Questions!$A$2:$X$333,23,0)&amp;""</f>
        <v>Standard Importance</v>
      </c>
      <c r="J99" s="186"/>
      <c r="K99" s="49" t="b">
        <v>0</v>
      </c>
      <c r="L99" s="1"/>
    </row>
    <row r="100" spans="1:12" s="30" customFormat="1" ht="69.75" customHeight="1" x14ac:dyDescent="0.2">
      <c r="A100" s="19" t="s">
        <v>1074</v>
      </c>
      <c r="B100" s="18" t="str">
        <f>VLOOKUP($A100,Questions!$A$2:$X$333,2,0)</f>
        <v>Do you collect personal information only for the purpose(s) identified in the agreement with an institution or, if there is none, the purpose(s) identified in the privacy notice?</v>
      </c>
      <c r="C100" s="46" t="str">
        <f>VLOOKUP($A100,Privacy!$A$13:$E$97,3,0)&amp;""</f>
        <v/>
      </c>
      <c r="D100" s="35" t="str">
        <f>IF(LEFT(VLOOKUP($A100,Privacy!$A$13:$E$97,5,0),21)='Auto Responses'!$A$32,'Auto Responses'!$A$33,VLOOKUP($A100,Privacy!$A$13:$E$97,4,0))&amp;""</f>
        <v/>
      </c>
      <c r="E100" s="331" t="str">
        <f>VLOOKUP($A100,Privacy!$A$13:$E$97,5,0)&amp;""</f>
        <v>This includes quality assurance, marketing and advertising, etc.</v>
      </c>
      <c r="F100" s="189"/>
      <c r="G100" s="31" t="str">
        <f>VLOOKUP($A100,Questions!$A$2:$X$333,21,0)&amp;""</f>
        <v>Yes</v>
      </c>
      <c r="H100" s="186"/>
      <c r="I100" s="46" t="str">
        <f>VLOOKUP($A100,Questions!$A$2:$X$333,23,0)&amp;""</f>
        <v>Standard Importance</v>
      </c>
      <c r="J100" s="186"/>
      <c r="K100" s="49" t="b">
        <v>0</v>
      </c>
      <c r="L100" s="1"/>
    </row>
    <row r="101" spans="1:12" s="30" customFormat="1" ht="48" customHeight="1" x14ac:dyDescent="0.2">
      <c r="A101" s="19" t="s">
        <v>1075</v>
      </c>
      <c r="B101" s="18" t="str">
        <f>VLOOKUP($A101,Questions!$A$2:$X$333,2,0)</f>
        <v>Do you have a documented list of personal data your service maintains?</v>
      </c>
      <c r="C101" s="46" t="str">
        <f>VLOOKUP($A101,Privacy!$A$13:$E$97,3,0)&amp;""</f>
        <v/>
      </c>
      <c r="D101" s="35" t="str">
        <f>IF(LEFT(VLOOKUP($A101,Privacy!$A$13:$E$97,5,0),21)='Auto Responses'!$A$32,'Auto Responses'!$A$33,VLOOKUP($A101,Privacy!$A$13:$E$97,4,0))&amp;""</f>
        <v/>
      </c>
      <c r="E101" s="331" t="str">
        <f>VLOOKUP($A101,Privacy!$A$13:$E$97,5,0)&amp;""</f>
        <v/>
      </c>
      <c r="F101" s="189"/>
      <c r="G101" s="31" t="str">
        <f>VLOOKUP($A101,Questions!$A$2:$X$333,21,0)&amp;""</f>
        <v>Yes</v>
      </c>
      <c r="H101" s="186"/>
      <c r="I101" s="46" t="str">
        <f>VLOOKUP($A101,Questions!$A$2:$X$333,23,0)&amp;""</f>
        <v>Standard Importance</v>
      </c>
      <c r="J101" s="186"/>
      <c r="K101" s="49" t="b">
        <v>0</v>
      </c>
      <c r="L101" s="1"/>
    </row>
    <row r="102" spans="1:12" s="30" customFormat="1" ht="66.75" customHeight="1" x14ac:dyDescent="0.2">
      <c r="A102" s="19" t="s">
        <v>1076</v>
      </c>
      <c r="B102" s="18" t="str">
        <f>VLOOKUP($A102,Questions!$A$2:$X$333,2,0)</f>
        <v>Do you retain personal information for only as long as necessary to fulfill the stated purpose(s) or as required by law or regulation and thereafter appropriately dispose of such information?</v>
      </c>
      <c r="C102" s="46" t="str">
        <f>VLOOKUP($A102,Privacy!$A$13:$E$97,3,0)&amp;""</f>
        <v/>
      </c>
      <c r="D102" s="35" t="str">
        <f>IF(LEFT(VLOOKUP($A102,Privacy!$A$13:$E$97,5,0),21)='Auto Responses'!$A$32,'Auto Responses'!$A$33,VLOOKUP($A102,Privacy!$A$13:$E$97,4,0))&amp;""</f>
        <v/>
      </c>
      <c r="E102" s="331" t="str">
        <f>VLOOKUP($A102,Privacy!$A$13:$E$97,5,0)&amp;""</f>
        <v/>
      </c>
      <c r="F102" s="189"/>
      <c r="G102" s="31" t="str">
        <f>VLOOKUP($A102,Questions!$A$2:$X$333,21,0)&amp;""</f>
        <v>Yes</v>
      </c>
      <c r="H102" s="186"/>
      <c r="I102" s="46" t="str">
        <f>VLOOKUP($A102,Questions!$A$2:$X$333,23,0)&amp;""</f>
        <v>Standard Importance</v>
      </c>
      <c r="J102" s="186"/>
      <c r="K102" s="49" t="b">
        <v>0</v>
      </c>
      <c r="L102" s="1"/>
    </row>
    <row r="103" spans="1:12" s="30" customFormat="1" ht="51" customHeight="1" x14ac:dyDescent="0.2">
      <c r="A103" s="19" t="s">
        <v>1077</v>
      </c>
      <c r="B103" s="18" t="str">
        <f>VLOOKUP($A103,Questions!$A$2:$X$333,2,0)</f>
        <v>Do you provide individuals with access to their personal information for review and update (i.e., data subject rights)?</v>
      </c>
      <c r="C103" s="46" t="str">
        <f>VLOOKUP($A103,Privacy!$A$13:$E$97,3,0)&amp;""</f>
        <v/>
      </c>
      <c r="D103" s="35" t="str">
        <f>IF(LEFT(VLOOKUP($A103,Privacy!$A$13:$E$97,5,0),21)='Auto Responses'!$A$32,'Auto Responses'!$A$33,VLOOKUP($A103,Privacy!$A$13:$E$97,4,0))&amp;""</f>
        <v/>
      </c>
      <c r="E103" s="331" t="str">
        <f>VLOOKUP($A103,Privacy!$A$13:$E$97,5,0)&amp;""</f>
        <v>Such processes would include descriptions of request processes individuals can follow to review thier information and written processes a data subject may use to ask for changes or corrections to data held about them.</v>
      </c>
      <c r="F103" s="189"/>
      <c r="G103" s="31" t="str">
        <f>VLOOKUP($A103,Questions!$A$2:$X$333,21,0)&amp;""</f>
        <v>Yes</v>
      </c>
      <c r="H103" s="186"/>
      <c r="I103" s="46" t="str">
        <f>VLOOKUP($A103,Questions!$A$2:$X$333,23,0)&amp;""</f>
        <v>Standard Importance</v>
      </c>
      <c r="J103" s="186"/>
      <c r="K103" s="49" t="b">
        <v>0</v>
      </c>
      <c r="L103" s="1"/>
    </row>
    <row r="104" spans="1:12" s="30" customFormat="1" ht="101.25" customHeight="1" x14ac:dyDescent="0.2">
      <c r="A104" s="19" t="s">
        <v>1078</v>
      </c>
      <c r="B104" s="18" t="str">
        <f>VLOOKUP($A104,Questions!$A$2:$X$333,2,0)</f>
        <v>Do you disclose personal information to third parties only for the purpose(s) identified in the privacy notice or with the implicit or explicit consent of the individual?</v>
      </c>
      <c r="C104" s="46" t="str">
        <f>VLOOKUP($A104,Privacy!$A$13:$E$97,3,0)&amp;""</f>
        <v/>
      </c>
      <c r="D104" s="35" t="str">
        <f>IF(LEFT(VLOOKUP($A104,Privacy!$A$13:$E$97,5,0),21)='Auto Responses'!$A$32,'Auto Responses'!$A$33,VLOOKUP($A104,Privacy!$A$13:$E$97,4,0))&amp;""</f>
        <v/>
      </c>
      <c r="E104" s="331" t="str">
        <f>VLOOKUP($A104,Privacy!$A$13:$E$97,5,0)&amp;""</f>
        <v/>
      </c>
      <c r="F104" s="189"/>
      <c r="G104" s="31" t="str">
        <f>VLOOKUP($A104,Questions!$A$2:$X$333,21,0)&amp;""</f>
        <v>Yes</v>
      </c>
      <c r="H104" s="186"/>
      <c r="I104" s="46" t="str">
        <f>VLOOKUP($A104,Questions!$A$2:$X$333,23,0)&amp;""</f>
        <v>Standard Importance</v>
      </c>
      <c r="J104" s="186"/>
      <c r="K104" s="49" t="b">
        <v>0</v>
      </c>
      <c r="L104" s="1"/>
    </row>
    <row r="105" spans="1:12" s="30" customFormat="1" ht="48" customHeight="1" x14ac:dyDescent="0.2">
      <c r="A105" s="19" t="s">
        <v>1079</v>
      </c>
      <c r="B105" s="18" t="str">
        <f>VLOOKUP($A105,Questions!$A$2:$X$333,2,0)</f>
        <v>Do you protect personal information against unauthorized access (both physical and logical)?</v>
      </c>
      <c r="C105" s="46" t="str">
        <f>VLOOKUP($A105,Privacy!$A$13:$E$97,3,0)&amp;""</f>
        <v/>
      </c>
      <c r="D105" s="35" t="str">
        <f>IF(LEFT(VLOOKUP($A105,Privacy!$A$13:$E$97,5,0),21)='Auto Responses'!$A$32,'Auto Responses'!$A$33,VLOOKUP($A105,Privacy!$A$13:$E$97,4,0))&amp;""</f>
        <v/>
      </c>
      <c r="E105" s="331" t="str">
        <f>VLOOKUP($A105,Privacy!$A$13:$E$97,5,0)&amp;""</f>
        <v/>
      </c>
      <c r="F105" s="189"/>
      <c r="G105" s="31" t="str">
        <f>VLOOKUP($A105,Questions!$A$2:$X$333,21,0)&amp;""</f>
        <v>Yes</v>
      </c>
      <c r="H105" s="186"/>
      <c r="I105" s="46" t="str">
        <f>VLOOKUP($A105,Questions!$A$2:$X$333,23,0)&amp;""</f>
        <v>Standard Importance</v>
      </c>
      <c r="J105" s="186"/>
      <c r="K105" s="49" t="b">
        <v>0</v>
      </c>
      <c r="L105" s="1"/>
    </row>
    <row r="106" spans="1:12" s="30" customFormat="1" ht="48" customHeight="1" x14ac:dyDescent="0.2">
      <c r="A106" s="19" t="s">
        <v>1080</v>
      </c>
      <c r="B106" s="18" t="str">
        <f>VLOOKUP($A106,Questions!$A$2:$X$333,2,0)</f>
        <v>Do you maintain accurate, complete, and relevant personal information for the purposes identified in the privacy notice?</v>
      </c>
      <c r="C106" s="46" t="str">
        <f>VLOOKUP($A106,Privacy!$A$13:$E$97,3,0)&amp;""</f>
        <v/>
      </c>
      <c r="D106" s="35" t="str">
        <f>IF(LEFT(VLOOKUP($A106,Privacy!$A$13:$E$97,5,0),21)='Auto Responses'!$A$32,'Auto Responses'!$A$33,VLOOKUP($A106,Privacy!$A$13:$E$97,4,0))&amp;""</f>
        <v/>
      </c>
      <c r="E106" s="331" t="str">
        <f>VLOOKUP($A106,Privacy!$A$13:$E$97,5,0)&amp;""</f>
        <v/>
      </c>
      <c r="F106" s="189"/>
      <c r="G106" s="31" t="str">
        <f>VLOOKUP($A106,Questions!$A$2:$X$333,21,0)&amp;""</f>
        <v>Yes</v>
      </c>
      <c r="H106" s="186"/>
      <c r="I106" s="46" t="str">
        <f>VLOOKUP($A106,Questions!$A$2:$X$333,23,0)&amp;""</f>
        <v>Standard Importance</v>
      </c>
      <c r="J106" s="186"/>
      <c r="K106" s="49" t="b">
        <v>0</v>
      </c>
      <c r="L106" s="1"/>
    </row>
    <row r="107" spans="1:12" s="30" customFormat="1" ht="48" customHeight="1" x14ac:dyDescent="0.2">
      <c r="A107" s="19" t="s">
        <v>1081</v>
      </c>
      <c r="B107" s="18" t="str">
        <f>VLOOKUP($A107,Questions!$A$2:$X$333,2,0)</f>
        <v>Do you have procedures to address privacy-related noncompliance complaints and disputes?</v>
      </c>
      <c r="C107" s="46" t="str">
        <f>VLOOKUP($A107,Privacy!$A$13:$E$97,3,0)&amp;""</f>
        <v/>
      </c>
      <c r="D107" s="35" t="str">
        <f>IF(LEFT(VLOOKUP($A107,Privacy!$A$13:$E$97,5,0),21)='Auto Responses'!$A$32,'Auto Responses'!$A$33,VLOOKUP($A107,Privacy!$A$13:$E$97,4,0))&amp;""</f>
        <v/>
      </c>
      <c r="E107" s="331" t="str">
        <f>VLOOKUP($A107,Privacy!$A$13:$E$97,5,0)&amp;""</f>
        <v/>
      </c>
      <c r="F107" s="189"/>
      <c r="G107" s="31" t="str">
        <f>VLOOKUP($A107,Questions!$A$2:$X$333,21,0)&amp;""</f>
        <v>Yes</v>
      </c>
      <c r="H107" s="186"/>
      <c r="I107" s="46" t="str">
        <f>VLOOKUP($A107,Questions!$A$2:$X$333,23,0)&amp;""</f>
        <v>Standard Importance</v>
      </c>
      <c r="J107" s="186"/>
      <c r="K107" s="49" t="b">
        <v>0</v>
      </c>
      <c r="L107" s="1"/>
    </row>
    <row r="108" spans="1:12" s="30" customFormat="1" ht="48" customHeight="1" x14ac:dyDescent="0.2">
      <c r="A108" s="19" t="s">
        <v>1082</v>
      </c>
      <c r="B108" s="18" t="str">
        <f>VLOOKUP($A108,Questions!$A$2:$X$333,2,0)</f>
        <v>Do you "anonymize," "de-identify," or otherwise mask personal data?</v>
      </c>
      <c r="C108" s="46" t="str">
        <f>VLOOKUP($A108,Privacy!$A$13:$E$97,3,0)&amp;""</f>
        <v/>
      </c>
      <c r="D108" s="35" t="str">
        <f>IF(LEFT(VLOOKUP($A108,Privacy!$A$13:$E$97,5,0),21)='Auto Responses'!$A$32,'Auto Responses'!$A$33,VLOOKUP($A108,Privacy!$A$13:$E$97,4,0))&amp;""</f>
        <v/>
      </c>
      <c r="E108" s="331" t="str">
        <f>VLOOKUP($A108,Privacy!$A$13:$E$97,5,0)&amp;""</f>
        <v/>
      </c>
      <c r="F108" s="189"/>
      <c r="G108" s="31" t="str">
        <f>VLOOKUP($A108,Questions!$A$2:$X$333,21,0)&amp;""</f>
        <v>Yes</v>
      </c>
      <c r="H108" s="186"/>
      <c r="I108" s="46" t="str">
        <f>VLOOKUP($A108,Questions!$A$2:$X$333,23,0)&amp;""</f>
        <v>Standard Importance</v>
      </c>
      <c r="J108" s="186"/>
      <c r="K108" s="49" t="b">
        <v>0</v>
      </c>
      <c r="L108" s="1"/>
    </row>
    <row r="109" spans="1:12" s="30" customFormat="1" ht="104.25" customHeight="1" x14ac:dyDescent="0.2">
      <c r="A109" s="19" t="s">
        <v>1083</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6" t="str">
        <f>VLOOKUP($A109,Privacy!$A$13:$E$97,3,0)&amp;""</f>
        <v/>
      </c>
      <c r="D109" s="35" t="str">
        <f>IF(LEFT(VLOOKUP($A109,Privacy!$A$13:$E$97,5,0),21)='Auto Responses'!$A$32,'Auto Responses'!$A$33,VLOOKUP($A109,Privacy!$A$13:$E$97,4,0))&amp;""</f>
        <v/>
      </c>
      <c r="E109" s="331" t="str">
        <f>VLOOKUP($A109,Privacy!$A$13:$E$97,5,0)&amp;""</f>
        <v/>
      </c>
      <c r="F109" s="189"/>
      <c r="G109" s="31" t="str">
        <f>VLOOKUP($A109,Questions!$A$2:$X$333,21,0)&amp;""</f>
        <v>No</v>
      </c>
      <c r="H109" s="186"/>
      <c r="I109" s="46" t="str">
        <f>VLOOKUP($A109,Questions!$A$2:$X$333,23,0)&amp;""</f>
        <v>Standard Importance</v>
      </c>
      <c r="J109" s="186"/>
      <c r="K109" s="49" t="b">
        <v>0</v>
      </c>
      <c r="L109" s="1"/>
    </row>
    <row r="110" spans="1:12" s="30" customFormat="1" ht="48" customHeight="1" x14ac:dyDescent="0.2">
      <c r="A110" s="19" t="s">
        <v>1084</v>
      </c>
      <c r="B110" s="18" t="str">
        <f>VLOOKUP($A110,Questions!$A$2:$X$333,2,0)</f>
        <v>Do you certify stop-processing requests, including any data that is processed by a third party on your behalf?</v>
      </c>
      <c r="C110" s="46" t="str">
        <f>VLOOKUP($A110,Privacy!$A$13:$E$97,3,0)&amp;""</f>
        <v/>
      </c>
      <c r="D110" s="35" t="str">
        <f>IF(LEFT(VLOOKUP($A110,Privacy!$A$13:$E$97,5,0),21)='Auto Responses'!$A$32,'Auto Responses'!$A$33,VLOOKUP($A110,Privacy!$A$13:$E$97,4,0))&amp;""</f>
        <v/>
      </c>
      <c r="E110" s="331" t="str">
        <f>VLOOKUP($A110,Privacy!$A$13:$E$97,5,0)&amp;""</f>
        <v>Provide evidence of existing processes or policies. The internal privacy policy should explain your organization's policies and practices regarding the collection of personal information and other data about individuals.</v>
      </c>
      <c r="F110" s="189"/>
      <c r="G110" s="31" t="str">
        <f>VLOOKUP($A110,Questions!$A$2:$X$333,21,0)&amp;""</f>
        <v>Yes</v>
      </c>
      <c r="H110" s="186"/>
      <c r="I110" s="46" t="str">
        <f>VLOOKUP($A110,Questions!$A$2:$X$333,23,0)&amp;""</f>
        <v>Standard Importance</v>
      </c>
      <c r="J110" s="186"/>
      <c r="K110" s="49" t="b">
        <v>0</v>
      </c>
      <c r="L110" s="1"/>
    </row>
    <row r="111" spans="1:12" s="30" customFormat="1" ht="48" customHeight="1" x14ac:dyDescent="0.2">
      <c r="A111" s="19" t="s">
        <v>1085</v>
      </c>
      <c r="B111" s="18" t="str">
        <f>VLOOKUP($A111,Questions!$A$2:$X$333,2,0)</f>
        <v>Do you have a process to review code for ethical considerations?</v>
      </c>
      <c r="C111" s="46" t="str">
        <f>VLOOKUP($A111,Privacy!$A$13:$E$97,3,0)&amp;""</f>
        <v/>
      </c>
      <c r="D111" s="35" t="str">
        <f>IF(LEFT(VLOOKUP($A111,Privacy!$A$13:$E$97,5,0),21)='Auto Responses'!$A$32,'Auto Responses'!$A$33,VLOOKUP($A111,Privacy!$A$13:$E$97,4,0))&amp;""</f>
        <v/>
      </c>
      <c r="E111" s="331" t="str">
        <f>VLOOKUP($A111,Privacy!$A$13:$E$97,5,0)&amp;""</f>
        <v/>
      </c>
      <c r="F111" s="189"/>
      <c r="G111" s="31" t="str">
        <f>VLOOKUP($A111,Questions!$A$2:$X$333,21,0)&amp;""</f>
        <v>Yes</v>
      </c>
      <c r="H111" s="186"/>
      <c r="I111" s="46" t="str">
        <f>VLOOKUP($A111,Questions!$A$2:$X$333,23,0)&amp;""</f>
        <v>Standard Importance</v>
      </c>
      <c r="J111" s="186"/>
      <c r="K111" s="49" t="b">
        <v>0</v>
      </c>
      <c r="L111" s="1"/>
    </row>
    <row r="112" spans="1:12" s="1" customFormat="1" ht="37.35" customHeight="1" x14ac:dyDescent="0.2">
      <c r="A112" s="64" t="str">
        <f>VLOOKUP(LEFT($A113,4),'Auto Responses'!$N$4:$O$38,2,0)&amp;""</f>
        <v xml:space="preserve"> Privacy and AI</v>
      </c>
      <c r="B112" s="23"/>
      <c r="C112" s="32"/>
      <c r="D112" s="32"/>
      <c r="E112" s="332"/>
      <c r="F112" s="133" t="s">
        <v>1066</v>
      </c>
      <c r="G112" s="336" t="s">
        <v>904</v>
      </c>
      <c r="H112" s="336" t="s">
        <v>906</v>
      </c>
      <c r="I112" s="336" t="s">
        <v>19</v>
      </c>
      <c r="J112" s="336" t="s">
        <v>891</v>
      </c>
      <c r="K112" s="32"/>
    </row>
    <row r="113" spans="1:12" s="30" customFormat="1" ht="48" customHeight="1" x14ac:dyDescent="0.2">
      <c r="A113" s="19" t="s">
        <v>1086</v>
      </c>
      <c r="B113" s="18" t="str">
        <f>VLOOKUP($A113,Questions!$A$2:$X$333,2,0)</f>
        <v>Does your service use AI for the processing of institutional data?</v>
      </c>
      <c r="C113" s="46" t="str">
        <f>VLOOKUP($A113,Privacy!$A$13:$E$97,3,0)&amp;""</f>
        <v/>
      </c>
      <c r="D113" s="35" t="str">
        <f>IF(LEFT(VLOOKUP($A113,Privacy!$A$13:$E$97,5,0),21)='Auto Responses'!$A$32,'Auto Responses'!$A$33,VLOOKUP($A113,Privacy!$A$13:$E$97,4,0))&amp;""</f>
        <v>This question does not apply.</v>
      </c>
      <c r="E113" s="331" t="str">
        <f>VLOOKUP($A113,Privacy!$A$13:$E$97,5,0)&amp;""</f>
        <v>Based on the response to REQU-04 on the "START HERE" tab, this question does not apply to this product or service.</v>
      </c>
      <c r="F113" s="189"/>
      <c r="G113" s="31" t="str">
        <f>VLOOKUP($A113,Questions!$A$2:$X$333,21,0)&amp;""</f>
        <v>No</v>
      </c>
      <c r="H113" s="186"/>
      <c r="I113" s="46" t="str">
        <f>VLOOKUP($A113,Questions!$A$2:$X$333,23,0)&amp;""</f>
        <v>Standard Importance</v>
      </c>
      <c r="J113" s="186"/>
      <c r="K113" s="49" t="b">
        <v>0</v>
      </c>
      <c r="L113" s="1"/>
    </row>
    <row r="114" spans="1:12" s="30" customFormat="1" ht="48" customHeight="1" x14ac:dyDescent="0.2">
      <c r="A114" s="19" t="s">
        <v>1087</v>
      </c>
      <c r="B114" s="18" t="str">
        <f>VLOOKUP($A114,Questions!$A$2:$X$333,2,0)</f>
        <v>Is any institutional data retained in AI processing?*</v>
      </c>
      <c r="C114" s="46" t="str">
        <f>VLOOKUP($A114,Privacy!$A$13:$E$97,3,0)&amp;""</f>
        <v/>
      </c>
      <c r="D114" s="35" t="str">
        <f>IF(LEFT(VLOOKUP($A114,Privacy!$A$13:$E$97,5,0),21)='Auto Responses'!$A$32,'Auto Responses'!$A$33,VLOOKUP($A114,Privacy!$A$13:$E$97,4,0))&amp;""</f>
        <v>This question does not apply.</v>
      </c>
      <c r="E114" s="331" t="str">
        <f>VLOOKUP($A114,Privacy!$A$13:$E$97,5,0)&amp;""</f>
        <v>Based on the response to REQU-04 on the "START HERE" tab, this question does not apply to this product or service.</v>
      </c>
      <c r="F114" s="189"/>
      <c r="G114" s="31" t="str">
        <f>VLOOKUP($A114,Questions!$A$2:$X$333,21,0)&amp;""</f>
        <v>No</v>
      </c>
      <c r="H114" s="186"/>
      <c r="I114" s="46" t="str">
        <f>VLOOKUP($A114,Questions!$A$2:$X$333,23,0)&amp;""</f>
        <v>Critical Importance</v>
      </c>
      <c r="J114" s="186"/>
      <c r="K114" s="49" t="b">
        <v>0</v>
      </c>
      <c r="L114" s="1"/>
    </row>
    <row r="115" spans="1:12" s="30" customFormat="1" ht="48" customHeight="1" x14ac:dyDescent="0.2">
      <c r="A115" s="19" t="s">
        <v>787</v>
      </c>
      <c r="B115" s="18" t="str">
        <f>VLOOKUP($A115,Questions!$A$2:$X$333,2,0)</f>
        <v>Do you have agreements in place with third parties or subprocessors regarding the protection of customer data and use of AI?*</v>
      </c>
      <c r="C115" s="46" t="str">
        <f>VLOOKUP($A115,Privacy!$A$13:$E$97,3,0)&amp;""</f>
        <v/>
      </c>
      <c r="D115" s="35" t="str">
        <f>IF(LEFT(VLOOKUP($A115,Privacy!$A$13:$E$97,5,0),21)='Auto Responses'!$A$32,'Auto Responses'!$A$33,VLOOKUP($A115,Privacy!$A$13:$E$97,4,0))&amp;""</f>
        <v>This question does not apply.</v>
      </c>
      <c r="E115" s="331" t="str">
        <f>VLOOKUP($A115,Privacy!$A$13:$E$97,5,0)&amp;""</f>
        <v>Based on the response to REQU-04 on the "START HERE" tab, this question does not apply to this product or service.</v>
      </c>
      <c r="F115" s="189"/>
      <c r="G115" s="31" t="str">
        <f>VLOOKUP($A115,Questions!$A$2:$X$333,21,0)&amp;""</f>
        <v>Yes</v>
      </c>
      <c r="H115" s="186"/>
      <c r="I115" s="46" t="str">
        <f>VLOOKUP($A115,Questions!$A$2:$X$333,23,0)&amp;""</f>
        <v>Critical Importance</v>
      </c>
      <c r="J115" s="186"/>
      <c r="K115" s="49" t="b">
        <v>0</v>
      </c>
      <c r="L115" s="1"/>
    </row>
    <row r="116" spans="1:12" s="30" customFormat="1" ht="48" customHeight="1" x14ac:dyDescent="0.2">
      <c r="A116" s="19" t="s">
        <v>789</v>
      </c>
      <c r="B116" s="18" t="str">
        <f>VLOOKUP($A116,Questions!$A$2:$X$333,2,0)</f>
        <v>Will institutional data be processed through a third party or subprocessor that also uses AI?</v>
      </c>
      <c r="C116" s="46" t="str">
        <f>VLOOKUP($A116,Privacy!$A$13:$E$97,3,0)&amp;""</f>
        <v/>
      </c>
      <c r="D116" s="35" t="str">
        <f>IF(LEFT(VLOOKUP($A116,Privacy!$A$13:$E$97,5,0),21)='Auto Responses'!$A$32,'Auto Responses'!$A$33,VLOOKUP($A116,Privacy!$A$13:$E$97,4,0))&amp;""</f>
        <v>This question does not apply.</v>
      </c>
      <c r="E116" s="331" t="str">
        <f>VLOOKUP($A116,Privacy!$A$13:$E$97,5,0)&amp;""</f>
        <v>Based on the response to REQU-04 on the "START HERE" tab, this question does not apply to this product or service.</v>
      </c>
      <c r="F116" s="189"/>
      <c r="G116" s="31" t="str">
        <f>VLOOKUP($A116,Questions!$A$2:$X$333,21,0)&amp;""</f>
        <v>No</v>
      </c>
      <c r="H116" s="186"/>
      <c r="I116" s="46" t="str">
        <f>VLOOKUP($A116,Questions!$A$2:$X$333,23,0)&amp;""</f>
        <v>Standard Importance</v>
      </c>
      <c r="J116" s="186"/>
      <c r="K116" s="49" t="b">
        <v>0</v>
      </c>
      <c r="L116" s="1"/>
    </row>
    <row r="117" spans="1:12" s="30" customFormat="1" ht="48" customHeight="1" x14ac:dyDescent="0.2">
      <c r="A117" s="19" t="s">
        <v>790</v>
      </c>
      <c r="B117" s="18" t="str">
        <f>VLOOKUP($A117,Questions!$A$2:$X$333,2,0)</f>
        <v>Is AI processing limited to fully licensed commercial enterprise AI services?</v>
      </c>
      <c r="C117" s="46" t="str">
        <f>VLOOKUP($A117,Privacy!$A$13:$E$97,3,0)&amp;""</f>
        <v/>
      </c>
      <c r="D117" s="35" t="str">
        <f>IF(LEFT(VLOOKUP($A117,Privacy!$A$13:$E$97,5,0),21)='Auto Responses'!$A$32,'Auto Responses'!$A$33,VLOOKUP($A117,Privacy!$A$13:$E$97,4,0))&amp;""</f>
        <v>This question does not apply.</v>
      </c>
      <c r="E117" s="331" t="str">
        <f>VLOOKUP($A117,Privacy!$A$13:$E$97,5,0)&amp;""</f>
        <v>Based on the response to REQU-04 on the "START HERE" tab, this question does not apply to this product or service.</v>
      </c>
      <c r="F117" s="189"/>
      <c r="G117" s="31" t="str">
        <f>VLOOKUP($A117,Questions!$A$2:$X$333,21,0)&amp;""</f>
        <v>Yes</v>
      </c>
      <c r="H117" s="186"/>
      <c r="I117" s="46" t="str">
        <f>VLOOKUP($A117,Questions!$A$2:$X$333,23,0)&amp;""</f>
        <v>Minor Importance</v>
      </c>
      <c r="J117" s="186"/>
      <c r="K117" s="49" t="b">
        <v>0</v>
      </c>
      <c r="L117" s="1"/>
    </row>
    <row r="118" spans="1:12" s="30" customFormat="1" ht="48" customHeight="1" x14ac:dyDescent="0.2">
      <c r="A118" s="19" t="s">
        <v>792</v>
      </c>
      <c r="B118" s="18" t="str">
        <f>VLOOKUP($A118,Questions!$A$2:$X$333,2,0)</f>
        <v>Will institutional data be used or processed by any shared AI services?</v>
      </c>
      <c r="C118" s="46" t="str">
        <f>VLOOKUP($A118,Privacy!$A$13:$E$97,3,0)&amp;""</f>
        <v/>
      </c>
      <c r="D118" s="35" t="str">
        <f>IF(LEFT(VLOOKUP($A118,Privacy!$A$13:$E$97,5,0),21)='Auto Responses'!$A$32,'Auto Responses'!$A$33,VLOOKUP($A118,Privacy!$A$13:$E$97,4,0))&amp;""</f>
        <v>This question does not apply.</v>
      </c>
      <c r="E118" s="331" t="str">
        <f>VLOOKUP($A118,Privacy!$A$13:$E$97,5,0)&amp;""</f>
        <v>Based on the response to REQU-04 on the "START HERE" tab, this question does not apply to this product or service.</v>
      </c>
      <c r="F118" s="189"/>
      <c r="G118" s="31" t="str">
        <f>VLOOKUP($A118,Questions!$A$2:$X$333,21,0)&amp;""</f>
        <v>No</v>
      </c>
      <c r="H118" s="186"/>
      <c r="I118" s="46" t="str">
        <f>VLOOKUP($A118,Questions!$A$2:$X$333,23,0)&amp;""</f>
        <v>Minor Importance</v>
      </c>
      <c r="J118" s="186"/>
      <c r="K118" s="49" t="b">
        <v>0</v>
      </c>
      <c r="L118" s="1"/>
    </row>
    <row r="119" spans="1:12" s="30" customFormat="1" ht="48" customHeight="1" x14ac:dyDescent="0.2">
      <c r="A119" s="19" t="s">
        <v>793</v>
      </c>
      <c r="B119" s="18" t="str">
        <f>VLOOKUP($A119,Questions!$A$2:$X$333,2,0)</f>
        <v>Do you have safeguards in place to protect institutional data and data privacy from unintended AI queries or processing?</v>
      </c>
      <c r="C119" s="46" t="str">
        <f>VLOOKUP($A119,Privacy!$A$13:$E$97,3,0)&amp;""</f>
        <v/>
      </c>
      <c r="D119" s="35" t="str">
        <f>IF(LEFT(VLOOKUP($A119,Privacy!$A$13:$E$97,5,0),21)='Auto Responses'!$A$32,'Auto Responses'!$A$33,VLOOKUP($A119,Privacy!$A$13:$E$97,4,0))&amp;""</f>
        <v>This question does not apply.</v>
      </c>
      <c r="E119" s="331" t="str">
        <f>VLOOKUP($A119,Privacy!$A$13:$E$97,5,0)&amp;""</f>
        <v>Based on the response to REQU-04 on the "START HERE" tab, this question does not apply to this product or service.</v>
      </c>
      <c r="F119" s="189"/>
      <c r="G119" s="31" t="str">
        <f>VLOOKUP($A119,Questions!$A$2:$X$333,21,0)&amp;""</f>
        <v>Yes</v>
      </c>
      <c r="H119" s="186"/>
      <c r="I119" s="46" t="str">
        <f>VLOOKUP($A119,Questions!$A$2:$X$333,23,0)&amp;""</f>
        <v>Minor Importance</v>
      </c>
      <c r="J119" s="186"/>
      <c r="K119" s="49" t="b">
        <v>0</v>
      </c>
      <c r="L119" s="1"/>
    </row>
    <row r="120" spans="1:12" s="30" customFormat="1" ht="48" customHeight="1" x14ac:dyDescent="0.2">
      <c r="A120" s="19" t="s">
        <v>794</v>
      </c>
      <c r="B120" s="18" t="str">
        <f>VLOOKUP($A120,Questions!$A$2:$X$333,2,0)</f>
        <v>Do you provide choice to the user to opt out of AI use?</v>
      </c>
      <c r="C120" s="46" t="str">
        <f>VLOOKUP($A120,Privacy!$A$13:$E$97,3,0)&amp;""</f>
        <v/>
      </c>
      <c r="D120" s="35" t="str">
        <f>IF(LEFT(VLOOKUP($A120,Privacy!$A$13:$E$97,5,0),21)='Auto Responses'!$A$32,'Auto Responses'!$A$33,VLOOKUP($A120,Privacy!$A$13:$E$97,4,0))&amp;""</f>
        <v>This question does not apply.</v>
      </c>
      <c r="E120" s="331" t="str">
        <f>VLOOKUP($A120,Privacy!$A$13:$E$97,5,0)&amp;""</f>
        <v>Based on the response to REQU-04 on the "START HERE" tab, this question does not apply to this product or service.</v>
      </c>
      <c r="F120" s="189"/>
      <c r="G120" s="31" t="str">
        <f>VLOOKUP($A120,Questions!$A$2:$X$333,21,0)&amp;""</f>
        <v>Yes</v>
      </c>
      <c r="H120" s="186"/>
      <c r="I120" s="46" t="str">
        <f>VLOOKUP($A120,Questions!$A$2:$X$333,23,0)&amp;""</f>
        <v>Minor Importance</v>
      </c>
      <c r="J120" s="186"/>
      <c r="K120" s="49" t="b">
        <v>0</v>
      </c>
      <c r="L120" s="1"/>
    </row>
    <row r="121" spans="1:12" ht="15" customHeight="1" x14ac:dyDescent="0.2"/>
    <row r="122" spans="1:12" ht="15" customHeight="1" x14ac:dyDescent="0.2"/>
    <row r="123" spans="1:12" s="1" customFormat="1" ht="37.35" customHeight="1" thickBot="1" x14ac:dyDescent="0.25">
      <c r="A123" s="219" t="s">
        <v>1566</v>
      </c>
      <c r="B123" s="220"/>
      <c r="C123" s="221"/>
      <c r="D123" s="221"/>
      <c r="E123" s="221"/>
      <c r="F123" s="222"/>
      <c r="G123" s="221"/>
      <c r="H123" s="221"/>
      <c r="I123" s="221"/>
      <c r="J123" s="221"/>
      <c r="K123" s="221"/>
    </row>
    <row r="124" spans="1:12" s="30" customFormat="1" ht="48" customHeight="1" thickBot="1" x14ac:dyDescent="0.25">
      <c r="A124" s="27" t="s">
        <v>886</v>
      </c>
      <c r="B124" s="28" t="s">
        <v>1</v>
      </c>
      <c r="C124" s="28" t="s">
        <v>887</v>
      </c>
      <c r="D124" s="29" t="s">
        <v>72</v>
      </c>
      <c r="E124" s="28" t="s">
        <v>883</v>
      </c>
      <c r="F124" s="188" t="s">
        <v>884</v>
      </c>
      <c r="G124" s="47" t="s">
        <v>904</v>
      </c>
      <c r="H124" s="44" t="s">
        <v>906</v>
      </c>
      <c r="I124" s="44" t="s">
        <v>19</v>
      </c>
      <c r="J124" s="45" t="s">
        <v>891</v>
      </c>
      <c r="K124" s="48" t="s">
        <v>902</v>
      </c>
      <c r="L124" s="1"/>
    </row>
    <row r="125" spans="1:12" s="1" customFormat="1" ht="18" x14ac:dyDescent="0.2">
      <c r="A125" s="64" t="str">
        <f>VLOOKUP(LEFT($A126,4),'Auto Responses'!$N$4:$O$38,2,0)&amp;""</f>
        <v xml:space="preserve"> Company Information</v>
      </c>
      <c r="B125" s="23"/>
      <c r="C125" s="32"/>
      <c r="D125" s="32"/>
      <c r="E125" s="32"/>
      <c r="F125" s="133" t="s">
        <v>1066</v>
      </c>
      <c r="G125" s="32"/>
      <c r="H125" s="32"/>
      <c r="I125" s="32"/>
      <c r="J125" s="32"/>
      <c r="K125" s="32"/>
    </row>
    <row r="126" spans="1:12" s="30" customFormat="1" ht="135" x14ac:dyDescent="0.2">
      <c r="A126" s="19" t="s">
        <v>35</v>
      </c>
      <c r="B126" s="18" t="str">
        <f>VLOOKUP($A126,Questions!$A$2:$X$333,2,0)</f>
        <v>Do you have a dedicated software and system development team(s) (e.g., customer support, implementation, product management, etc.)?*</v>
      </c>
      <c r="C126" s="46" t="str">
        <f>VLOOKUP($A126,'Institution Evaluation'!$A$56:$K$346,3,0)&amp;""</f>
        <v>Yes</v>
      </c>
      <c r="D126" s="46" t="str">
        <f>VLOOKUP($A126,'Institution Evaluation'!$A$56:$K$346,4,0)&amp;""</f>
        <v>See Managing IU Data at: https://datamanagement.iu.edu/index.html</v>
      </c>
      <c r="E126" s="331" t="str">
        <f>VLOOKUP($A126,'Institution Evaluation'!$A$56:$K$346,5,0)&amp;""</f>
        <v>Describe the structure and size of your software and system development teams. (e.g., customer support, implementation, product management, etc.).</v>
      </c>
      <c r="F126" s="189" t="str">
        <f>VLOOKUP($A126,'Institution Evaluation'!$A$56:$K$346,6,0)&amp;""</f>
        <v/>
      </c>
      <c r="G126" s="31" t="str">
        <f>VLOOKUP($A126,'Institution Evaluation'!$A$56:$K$346,7,0)&amp;""</f>
        <v>Yes</v>
      </c>
      <c r="H126" s="186" t="str">
        <f>VLOOKUP($A126,'Institution Evaluation'!$A$56:$K$346,8,0)&amp;""</f>
        <v/>
      </c>
      <c r="I126" s="46" t="str">
        <f>VLOOKUP($A126,'Institution Evaluation'!$A$56:$K$346,9,0)&amp;""</f>
        <v>Critical Importance</v>
      </c>
      <c r="J126" s="187" t="str">
        <f>VLOOKUP($A126,'Institution Evaluation'!$A$56:$K$346,10,0)&amp;""</f>
        <v/>
      </c>
      <c r="K126" s="49" t="str">
        <f>IF(VLOOKUP($A126,'Institution Evaluation'!$A$56:$K$346,10,0)=TRUE,"Yes","")</f>
        <v/>
      </c>
      <c r="L126" s="49" t="str">
        <f>IF(VLOOKUP($A126,'Institution Evaluation'!$A$56:$K$346,10,0)=TRUE,"Yes","")</f>
        <v/>
      </c>
    </row>
    <row r="127" spans="1:12" ht="150" x14ac:dyDescent="0.2">
      <c r="A127" s="19" t="s">
        <v>42</v>
      </c>
      <c r="B127" s="18" t="str">
        <f>VLOOKUP($A127,Questions!$A$2:$X$333,2,0)</f>
        <v>Describe your organization’s business background and ownership structure, including all parent and subsidiary relationships.</v>
      </c>
      <c r="C127" s="46" t="str">
        <f>VLOOKUP($A127,'Institution Evaluation'!$A$56:$K$346,3,0)&amp;""</f>
        <v>NSSE Shorts is a project within the larger National Survey of Student Engagement at Indiana University.  NSSE has been an active project at Indiana University since 1999.</v>
      </c>
      <c r="D127" s="46" t="str">
        <f>VLOOKUP($A127,'Institution Evaluation'!$A$56:$K$346,4,0)&amp;""</f>
        <v/>
      </c>
      <c r="E127" s="331" t="str">
        <f>VLOOKUP($A127,'Institution Evaluation'!$A$56:$K$346,5,0)&amp;""</f>
        <v>Include circumstances that may involve offshoring or multinational agreements.</v>
      </c>
      <c r="F127" s="189" t="str">
        <f>VLOOKUP($A127,'Institution Evaluation'!$A$56:$K$346,6,0)&amp;""</f>
        <v/>
      </c>
      <c r="G127" s="31" t="str">
        <f>VLOOKUP($A127,'Institution Evaluation'!$A$56:$K$346,7,0)&amp;""</f>
        <v>Not scored</v>
      </c>
      <c r="H127" s="186" t="str">
        <f>VLOOKUP($A127,'Institution Evaluation'!$A$56:$K$346,8,0)&amp;""</f>
        <v/>
      </c>
      <c r="I127" s="46" t="str">
        <f>VLOOKUP($A127,'Institution Evaluation'!$A$56:$K$346,9,0)&amp;""</f>
        <v/>
      </c>
      <c r="J127" s="187" t="str">
        <f>VLOOKUP($A127,'Institution Evaluation'!$A$56:$K$346,10,0)&amp;""</f>
        <v/>
      </c>
      <c r="K127" s="49" t="str">
        <f>IF(VLOOKUP($A127,'Institution Evaluation'!$A$56:$K$346,10,0)=TRUE,"Yes","")</f>
        <v/>
      </c>
    </row>
    <row r="128" spans="1:12" ht="28.5" x14ac:dyDescent="0.2">
      <c r="A128" s="19" t="s">
        <v>44</v>
      </c>
      <c r="B128" s="18" t="str">
        <f>VLOOKUP($A128,Questions!$A$2:$X$333,2,0)</f>
        <v>Have you operated without unplanned disruptions to this solution in the past 12 months?</v>
      </c>
      <c r="C128" s="46" t="str">
        <f>VLOOKUP($A128,'Institution Evaluation'!$A$56:$K$346,3,0)&amp;""</f>
        <v>Yes</v>
      </c>
      <c r="D128" s="46" t="str">
        <f>VLOOKUP($A128,'Institution Evaluation'!$A$56:$K$346,4,0)&amp;""</f>
        <v/>
      </c>
      <c r="E128" s="331" t="str">
        <f>VLOOKUP($A128,'Institution Evaluation'!$A$56:$K$346,5,0)&amp;""</f>
        <v/>
      </c>
      <c r="F128" s="189" t="str">
        <f>VLOOKUP($A128,'Institution Evaluation'!$A$56:$K$346,6,0)&amp;""</f>
        <v/>
      </c>
      <c r="G128" s="31" t="str">
        <f>VLOOKUP($A128,'Institution Evaluation'!$A$56:$K$346,7,0)&amp;""</f>
        <v>Yes</v>
      </c>
      <c r="H128" s="186" t="str">
        <f>VLOOKUP($A128,'Institution Evaluation'!$A$56:$K$346,8,0)&amp;""</f>
        <v/>
      </c>
      <c r="I128" s="46" t="str">
        <f>VLOOKUP($A128,'Institution Evaluation'!$A$56:$K$346,9,0)&amp;""</f>
        <v>Minor Importance</v>
      </c>
      <c r="J128" s="187" t="str">
        <f>VLOOKUP($A128,'Institution Evaluation'!$A$56:$K$346,10,0)&amp;""</f>
        <v/>
      </c>
      <c r="K128" s="49" t="str">
        <f>IF(VLOOKUP($A128,'Institution Evaluation'!$A$56:$K$346,10,0)=TRUE,"Yes","")</f>
        <v/>
      </c>
    </row>
    <row r="129" spans="1:11" ht="75" x14ac:dyDescent="0.2">
      <c r="A129" s="19" t="s">
        <v>45</v>
      </c>
      <c r="B129" s="18" t="str">
        <f>VLOOKUP($A129,Questions!$A$2:$X$333,2,0)</f>
        <v>Do you have a dedicated information security staff or office?</v>
      </c>
      <c r="C129" s="46" t="str">
        <f>VLOOKUP($A129,'Institution Evaluation'!$A$56:$K$346,3,0)&amp;""</f>
        <v>Yes</v>
      </c>
      <c r="D129" s="46" t="str">
        <f>VLOOKUP($A129,'Institution Evaluation'!$A$56:$K$346,4,0)&amp;""</f>
        <v>See Managing IU Data at: https://datamanagement.iu.edu/index.html</v>
      </c>
      <c r="E129" s="331" t="str">
        <f>VLOOKUP($A129,'Institution Evaluation'!$A$56:$K$346,5,0)&amp;""</f>
        <v>Describe your information security office, including size, talents, resources, etc.</v>
      </c>
      <c r="F129" s="189" t="str">
        <f>VLOOKUP($A129,'Institution Evaluation'!$A$56:$K$346,6,0)&amp;""</f>
        <v/>
      </c>
      <c r="G129" s="31" t="str">
        <f>VLOOKUP($A129,'Institution Evaluation'!$A$56:$K$346,7,0)&amp;""</f>
        <v>Yes</v>
      </c>
      <c r="H129" s="186" t="str">
        <f>VLOOKUP($A129,'Institution Evaluation'!$A$56:$K$346,8,0)&amp;""</f>
        <v/>
      </c>
      <c r="I129" s="46" t="str">
        <f>VLOOKUP($A129,'Institution Evaluation'!$A$56:$K$346,9,0)&amp;""</f>
        <v>Minor Importance</v>
      </c>
      <c r="J129" s="187" t="str">
        <f>VLOOKUP($A129,'Institution Evaluation'!$A$56:$K$346,10,0)&amp;""</f>
        <v/>
      </c>
      <c r="K129" s="49" t="str">
        <f>IF(VLOOKUP($A129,'Institution Evaluation'!$A$56:$K$346,10,0)=TRUE,"Yes","")</f>
        <v/>
      </c>
    </row>
    <row r="130" spans="1:11" s="1" customFormat="1" ht="18" x14ac:dyDescent="0.2">
      <c r="A130" s="64" t="str">
        <f>VLOOKUP(LEFT($A131,4),'Auto Responses'!$N$4:$O$38,2,0)&amp;""</f>
        <v xml:space="preserve"> Required Questions</v>
      </c>
      <c r="B130" s="23"/>
      <c r="C130" s="32"/>
      <c r="D130" s="32"/>
      <c r="E130" s="332"/>
      <c r="F130" s="133" t="s">
        <v>1066</v>
      </c>
      <c r="G130" s="336" t="s">
        <v>904</v>
      </c>
      <c r="H130" s="336" t="s">
        <v>906</v>
      </c>
      <c r="I130" s="336" t="s">
        <v>19</v>
      </c>
      <c r="J130" s="336" t="s">
        <v>891</v>
      </c>
      <c r="K130" s="32"/>
    </row>
    <row r="131" spans="1:11" ht="45" x14ac:dyDescent="0.2">
      <c r="A131" s="19" t="s">
        <v>58</v>
      </c>
      <c r="B131" s="18" t="str">
        <f>VLOOKUP($A131,Questions!$A$2:$X$333,2,0)</f>
        <v>Does your solution have AI features, or are there plans to implement AI features in the next 12 months?</v>
      </c>
      <c r="C131" s="46" t="str">
        <f>VLOOKUP($A131,'Institution Evaluation'!$A$56:$K$346,3,0)&amp;""</f>
        <v>No</v>
      </c>
      <c r="D131" s="46" t="str">
        <f>VLOOKUP($A131,'Institution Evaluation'!$A$56:$K$346,4,0)&amp;""</f>
        <v/>
      </c>
      <c r="E131" s="331" t="str">
        <f>VLOOKUP($A131,'Institution Evaluation'!$A$56:$K$346,5,0)&amp;""</f>
        <v>DO NOT complete the Artificial Intelligence (AI) worksheet</v>
      </c>
      <c r="F131" s="189" t="str">
        <f>VLOOKUP($A131,'Institution Evaluation'!$A$56:$K$346,6,0)&amp;""</f>
        <v/>
      </c>
      <c r="G131" s="31" t="str">
        <f>VLOOKUP($A131,'Institution Evaluation'!$A$56:$K$346,7,0)&amp;""</f>
        <v>Not scored</v>
      </c>
      <c r="H131" s="186" t="str">
        <f>VLOOKUP($A131,'Institution Evaluation'!$A$56:$K$346,8,0)&amp;""</f>
        <v/>
      </c>
      <c r="I131" s="46" t="str">
        <f>VLOOKUP($A131,'Institution Evaluation'!$A$56:$K$346,9,0)&amp;""</f>
        <v/>
      </c>
      <c r="J131" s="187" t="str">
        <f>VLOOKUP($A131,'Institution Evaluation'!$A$56:$K$346,10,0)&amp;""</f>
        <v/>
      </c>
      <c r="K131" s="49" t="str">
        <f>IF(VLOOKUP($A131,'Institution Evaluation'!$A$56:$K$346,10,0)=TRUE,"Yes","")</f>
        <v/>
      </c>
    </row>
    <row r="132" spans="1:11" ht="60" x14ac:dyDescent="0.2">
      <c r="A132" s="19" t="s">
        <v>61</v>
      </c>
      <c r="B132" s="18" t="str">
        <f>VLOOKUP($A132,Questions!$A$2:$X$333,2,0)</f>
        <v>Does your solution process protected health information (PHI) or any data covered by the Health Insurance Portability and Accountability Act (HIPAA)?</v>
      </c>
      <c r="C132" s="46" t="str">
        <f>VLOOKUP($A132,'Institution Evaluation'!$A$56:$K$346,3,0)&amp;""</f>
        <v>No</v>
      </c>
      <c r="D132" s="46" t="str">
        <f>VLOOKUP($A132,'Institution Evaluation'!$A$56:$K$346,4,0)&amp;""</f>
        <v/>
      </c>
      <c r="E132" s="331" t="str">
        <f>VLOOKUP($A132,'Institution Evaluation'!$A$56:$K$346,5,0)&amp;""</f>
        <v>DO NOT complete the HIPAA section in the Case-Specific worksheet</v>
      </c>
      <c r="F132" s="189" t="str">
        <f>VLOOKUP($A132,'Institution Evaluation'!$A$56:$K$346,6,0)&amp;""</f>
        <v/>
      </c>
      <c r="G132" s="31" t="str">
        <f>VLOOKUP($A132,'Institution Evaluation'!$A$56:$K$346,7,0)&amp;""</f>
        <v>Not scored</v>
      </c>
      <c r="H132" s="186" t="str">
        <f>VLOOKUP($A132,'Institution Evaluation'!$A$56:$K$346,8,0)&amp;""</f>
        <v/>
      </c>
      <c r="I132" s="46" t="str">
        <f>VLOOKUP($A132,'Institution Evaluation'!$A$56:$K$346,9,0)&amp;""</f>
        <v/>
      </c>
      <c r="J132" s="187" t="str">
        <f>VLOOKUP($A132,'Institution Evaluation'!$A$56:$K$346,10,0)&amp;""</f>
        <v/>
      </c>
      <c r="K132" s="49" t="str">
        <f>IF(VLOOKUP($A132,'Institution Evaluation'!$A$56:$K$346,10,0)=TRUE,"Yes","")</f>
        <v/>
      </c>
    </row>
    <row r="133" spans="1:11" ht="60" x14ac:dyDescent="0.2">
      <c r="A133" s="19" t="s">
        <v>64</v>
      </c>
      <c r="B133" s="18" t="str">
        <f>VLOOKUP($A133,Questions!$A$2:$X$333,2,0)</f>
        <v>Is the solution designed to process, store, or transmit credit card information?</v>
      </c>
      <c r="C133" s="46" t="str">
        <f>VLOOKUP($A133,'Institution Evaluation'!$A$56:$K$346,3,0)&amp;""</f>
        <v>No</v>
      </c>
      <c r="D133" s="46" t="str">
        <f>VLOOKUP($A133,'Institution Evaluation'!$A$56:$K$346,4,0)&amp;""</f>
        <v/>
      </c>
      <c r="E133" s="331" t="str">
        <f>VLOOKUP($A133,'Institution Evaluation'!$A$56:$K$346,5,0)&amp;""</f>
        <v>DO NOT complete the PCI-DSS section in the Case-Specific worksheet</v>
      </c>
      <c r="F133" s="189" t="str">
        <f>VLOOKUP($A133,'Institution Evaluation'!$A$56:$K$346,6,0)&amp;""</f>
        <v/>
      </c>
      <c r="G133" s="31" t="str">
        <f>VLOOKUP($A133,'Institution Evaluation'!$A$56:$K$346,7,0)&amp;""</f>
        <v>Not scored</v>
      </c>
      <c r="H133" s="186" t="str">
        <f>VLOOKUP($A133,'Institution Evaluation'!$A$56:$K$346,8,0)&amp;""</f>
        <v/>
      </c>
      <c r="I133" s="46" t="str">
        <f>VLOOKUP($A133,'Institution Evaluation'!$A$56:$K$346,9,0)&amp;""</f>
        <v/>
      </c>
      <c r="J133" s="187" t="str">
        <f>VLOOKUP($A133,'Institution Evaluation'!$A$56:$K$346,10,0)&amp;""</f>
        <v/>
      </c>
      <c r="K133" s="49" t="str">
        <f>IF(VLOOKUP($A133,'Institution Evaluation'!$A$56:$K$346,10,0)=TRUE,"Yes","")</f>
        <v/>
      </c>
    </row>
    <row r="134" spans="1:11" ht="240" x14ac:dyDescent="0.2">
      <c r="A134" s="19" t="s">
        <v>1004</v>
      </c>
      <c r="B134" s="18" t="str">
        <f>VLOOKUP($A134,Questions!$A$2:$X$333,2,0)</f>
        <v>Does your solution have access to personal or institutional data?</v>
      </c>
      <c r="C134" s="46" t="str">
        <f>VLOOKUP($A134,'Institution Evaluation'!$A$56:$K$346,3,0)&amp;""</f>
        <v>No</v>
      </c>
      <c r="D134" s="46" t="str">
        <f>VLOOKUP($A134,'Institution Evaluation'!$A$56:$K$346,4,0)&amp;""</f>
        <v>NSSE Shorts does not collect any personally identifiable student data. Institutions requesting student specific links are required to provide masked student IDs. See "Survey Administration Options" https://nsse.indiana.edu/nsse/nsse-shorts/NSSE-Shorts-Administration-Instructions.html</v>
      </c>
      <c r="E134" s="331" t="str">
        <f>VLOOKUP($A134,'Institution Evaluation'!$A$56:$K$346,5,0)&amp;""</f>
        <v>DO NOT complete the Privacy tab</v>
      </c>
      <c r="F134" s="189" t="str">
        <f>VLOOKUP($A134,'Institution Evaluation'!$A$56:$K$346,6,0)&amp;""</f>
        <v/>
      </c>
      <c r="G134" s="31" t="str">
        <f>VLOOKUP($A134,'Institution Evaluation'!$A$56:$K$346,7,0)&amp;""</f>
        <v>Not scored</v>
      </c>
      <c r="H134" s="186" t="str">
        <f>VLOOKUP($A134,'Institution Evaluation'!$A$56:$K$346,8,0)&amp;""</f>
        <v/>
      </c>
      <c r="I134" s="46" t="str">
        <f>VLOOKUP($A134,'Institution Evaluation'!$A$56:$K$346,9,0)&amp;""</f>
        <v/>
      </c>
      <c r="J134" s="187" t="str">
        <f>VLOOKUP($A134,'Institution Evaluation'!$A$56:$K$346,10,0)&amp;""</f>
        <v/>
      </c>
      <c r="K134" s="49" t="str">
        <f>IF(VLOOKUP($A134,'Institution Evaluation'!$A$56:$K$346,10,0)=TRUE,"Yes","")</f>
        <v/>
      </c>
    </row>
    <row r="135" spans="1:11" s="1" customFormat="1" ht="18" x14ac:dyDescent="0.2">
      <c r="A135" s="64" t="str">
        <f>VLOOKUP(LEFT($A136,4),'Auto Responses'!$N$4:$O$38,2,0)&amp;""</f>
        <v xml:space="preserve"> Documentation</v>
      </c>
      <c r="B135" s="23"/>
      <c r="C135" s="32"/>
      <c r="D135" s="32"/>
      <c r="E135" s="332"/>
      <c r="F135" s="133" t="s">
        <v>1066</v>
      </c>
      <c r="G135" s="336" t="s">
        <v>904</v>
      </c>
      <c r="H135" s="336" t="s">
        <v>906</v>
      </c>
      <c r="I135" s="336" t="s">
        <v>19</v>
      </c>
      <c r="J135" s="336" t="s">
        <v>891</v>
      </c>
      <c r="K135" s="32"/>
    </row>
    <row r="136" spans="1:11" ht="150" x14ac:dyDescent="0.2">
      <c r="A136" s="19" t="s">
        <v>70</v>
      </c>
      <c r="B136" s="18" t="str">
        <f>VLOOKUP($A136,Questions!$A$2:$X$333,2,0)</f>
        <v>Do you have a well-documented business continuity plan (BCP), with a clear owner, that is tested annually?*</v>
      </c>
      <c r="C136" s="46" t="str">
        <f>VLOOKUP($A136,'Institution Evaluation'!$A$56:$K$346,3,0)&amp;""</f>
        <v>No</v>
      </c>
      <c r="D136" s="46" t="str">
        <f>VLOOKUP($A136,'Institution Evaluation'!$A$56:$K$346,4,0)&amp;""</f>
        <v>NSSE Shorts as a project does not. HOWEVER, Qualtrics does; see Qualtrics HECVAT 2025 for more details: https://bcsse.iu.edu/doc/bcsse/Qualtrics%20HECVAT%202025.xlsx</v>
      </c>
      <c r="E136" s="331" t="str">
        <f>VLOOKUP($A136,'Institution Evaluation'!$A$56:$K$346,5,0)&amp;""</f>
        <v/>
      </c>
      <c r="F136" s="189" t="str">
        <f>VLOOKUP($A136,'Institution Evaluation'!$A$56:$K$346,6,0)&amp;""</f>
        <v/>
      </c>
      <c r="G136" s="31" t="str">
        <f>VLOOKUP($A136,'Institution Evaluation'!$A$56:$K$346,7,0)&amp;""</f>
        <v>Yes</v>
      </c>
      <c r="H136" s="186" t="str">
        <f>VLOOKUP($A136,'Institution Evaluation'!$A$56:$K$346,8,0)&amp;""</f>
        <v/>
      </c>
      <c r="I136" s="46" t="str">
        <f>VLOOKUP($A136,'Institution Evaluation'!$A$56:$K$346,9,0)&amp;""</f>
        <v>Critical Importance</v>
      </c>
      <c r="J136" s="187" t="str">
        <f>VLOOKUP($A136,'Institution Evaluation'!$A$56:$K$346,10,0)&amp;""</f>
        <v/>
      </c>
      <c r="K136" s="49" t="str">
        <f>IF(VLOOKUP($A136,'Institution Evaluation'!$A$56:$K$346,10,0)=TRUE,"Yes","")</f>
        <v/>
      </c>
    </row>
    <row r="137" spans="1:11" ht="150" x14ac:dyDescent="0.2">
      <c r="A137" s="19" t="s">
        <v>77</v>
      </c>
      <c r="B137" s="18" t="str">
        <f>VLOOKUP($A137,Questions!$A$2:$X$333,2,0)</f>
        <v>Have you undergone a SSAE 18/SOC 2 audit?</v>
      </c>
      <c r="C137" s="46" t="str">
        <f>VLOOKUP($A137,'Institution Evaluation'!$A$56:$K$346,3,0)&amp;""</f>
        <v>No</v>
      </c>
      <c r="D137" s="46" t="str">
        <f>VLOOKUP($A137,'Institution Evaluation'!$A$56:$K$346,4,0)&amp;""</f>
        <v>NSSE Shorts as a project does not. HOWEVER, Qualtrics does;  see Qualtrics HECVAT 2025 for more details: https://bcsse.iu.edu/doc/bcsse/Qualtrics%20HECVAT%202025.xlsx</v>
      </c>
      <c r="E137" s="331" t="str">
        <f>VLOOKUP($A137,'Institution Evaluation'!$A$56:$K$346,5,0)&amp;""</f>
        <v>Describe any plans to undergo a SSAE 18 audit.</v>
      </c>
      <c r="F137" s="189" t="str">
        <f>VLOOKUP($A137,'Institution Evaluation'!$A$56:$K$346,6,0)&amp;""</f>
        <v/>
      </c>
      <c r="G137" s="31" t="str">
        <f>VLOOKUP($A137,'Institution Evaluation'!$A$56:$K$346,7,0)&amp;""</f>
        <v>Yes</v>
      </c>
      <c r="H137" s="186" t="str">
        <f>VLOOKUP($A137,'Institution Evaluation'!$A$56:$K$346,8,0)&amp;""</f>
        <v/>
      </c>
      <c r="I137" s="46" t="str">
        <f>VLOOKUP($A137,'Institution Evaluation'!$A$56:$K$346,9,0)&amp;""</f>
        <v>Standard Importance</v>
      </c>
      <c r="J137" s="187" t="str">
        <f>VLOOKUP($A137,'Institution Evaluation'!$A$56:$K$346,10,0)&amp;""</f>
        <v/>
      </c>
      <c r="K137" s="49" t="str">
        <f>IF(VLOOKUP($A137,'Institution Evaluation'!$A$56:$K$346,10,0)=TRUE,"Yes","")</f>
        <v/>
      </c>
    </row>
    <row r="138" spans="1:11" ht="120" x14ac:dyDescent="0.2">
      <c r="A138" s="19" t="s">
        <v>80</v>
      </c>
      <c r="B138" s="18" t="str">
        <f>VLOOKUP($A138,Questions!$A$2:$X$333,2,0)</f>
        <v>Do you conform with a specific industry standard security framework (e.g., NIST Cybersecurity Framework, CIS Controls, ISO 27001, etc.)?</v>
      </c>
      <c r="C138" s="46" t="str">
        <f>VLOOKUP($A138,'Institution Evaluation'!$A$56:$K$346,3,0)&amp;""</f>
        <v>No</v>
      </c>
      <c r="D138" s="46" t="str">
        <f>VLOOKUP($A138,'Institution Evaluation'!$A$56:$K$346,4,0)&amp;""</f>
        <v>NSSE Shorts as a project does not. See Qualtrics HECVAT 2025 for more details: https://bcsse.iu.edu/doc/bcsse/Qualtrics%20HECVAT%202025.xlsx</v>
      </c>
      <c r="E138" s="331" t="str">
        <f>VLOOKUP($A138,'Institution Evaluation'!$A$56:$K$346,5,0)&amp;""</f>
        <v>Describe any plans to conform to an industry standard security framework.</v>
      </c>
      <c r="F138" s="189" t="str">
        <f>VLOOKUP($A138,'Institution Evaluation'!$A$56:$K$346,6,0)&amp;""</f>
        <v/>
      </c>
      <c r="G138" s="31" t="str">
        <f>VLOOKUP($A138,'Institution Evaluation'!$A$56:$K$346,7,0)&amp;""</f>
        <v>Yes</v>
      </c>
      <c r="H138" s="186" t="str">
        <f>VLOOKUP($A138,'Institution Evaluation'!$A$56:$K$346,8,0)&amp;""</f>
        <v/>
      </c>
      <c r="I138" s="46" t="str">
        <f>VLOOKUP($A138,'Institution Evaluation'!$A$56:$K$346,9,0)&amp;""</f>
        <v>Standard Importance</v>
      </c>
      <c r="J138" s="187" t="str">
        <f>VLOOKUP($A138,'Institution Evaluation'!$A$56:$K$346,10,0)&amp;""</f>
        <v/>
      </c>
      <c r="K138" s="49" t="str">
        <f>IF(VLOOKUP($A138,'Institution Evaluation'!$A$56:$K$346,10,0)=TRUE,"Yes","")</f>
        <v/>
      </c>
    </row>
    <row r="139" spans="1:11" ht="120" x14ac:dyDescent="0.2">
      <c r="A139" s="19" t="s">
        <v>84</v>
      </c>
      <c r="B139" s="18" t="str">
        <f>VLOOKUP($A139,Questions!$A$2:$X$333,2,0)</f>
        <v>Can you provide overall system and/or application architecture diagrams, including a full description of the data flow for all components of the system?</v>
      </c>
      <c r="C139" s="46" t="str">
        <f>VLOOKUP($A139,'Institution Evaluation'!$A$56:$K$346,3,0)&amp;""</f>
        <v>No</v>
      </c>
      <c r="D139" s="46" t="str">
        <f>VLOOKUP($A139,'Institution Evaluation'!$A$56:$K$346,4,0)&amp;""</f>
        <v>NSSE Shorts as a project does not. See Qualtrics HECVAT 2025 for more details: https://bcsse.iu.edu/doc/bcsse/Qualtrics%20HECVAT%202025.xlsx</v>
      </c>
      <c r="E139" s="331" t="str">
        <f>VLOOKUP($A139,'Institution Evaluation'!$A$56:$K$346,5,0)&amp;""</f>
        <v>Provide a detailed summary of overall system and/or application architecture.</v>
      </c>
      <c r="F139" s="189" t="str">
        <f>VLOOKUP($A139,'Institution Evaluation'!$A$56:$K$346,6,0)&amp;""</f>
        <v/>
      </c>
      <c r="G139" s="31" t="str">
        <f>VLOOKUP($A139,'Institution Evaluation'!$A$56:$K$346,7,0)&amp;""</f>
        <v>Yes</v>
      </c>
      <c r="H139" s="186" t="str">
        <f>VLOOKUP($A139,'Institution Evaluation'!$A$56:$K$346,8,0)&amp;""</f>
        <v/>
      </c>
      <c r="I139" s="46" t="str">
        <f>VLOOKUP($A139,'Institution Evaluation'!$A$56:$K$346,9,0)&amp;""</f>
        <v>Standard Importance</v>
      </c>
      <c r="J139" s="187" t="str">
        <f>VLOOKUP($A139,'Institution Evaluation'!$A$56:$K$346,10,0)&amp;""</f>
        <v/>
      </c>
      <c r="K139" s="49" t="str">
        <f>IF(VLOOKUP($A139,'Institution Evaluation'!$A$56:$K$346,10,0)=TRUE,"Yes","")</f>
        <v/>
      </c>
    </row>
    <row r="140" spans="1:11" ht="270" x14ac:dyDescent="0.2">
      <c r="A140" s="19" t="s">
        <v>88</v>
      </c>
      <c r="B140" s="18" t="str">
        <f>VLOOKUP($A140,Questions!$A$2:$X$333,2,0)</f>
        <v>Does your organization have a data privacy policy?</v>
      </c>
      <c r="C140" s="46" t="str">
        <f>VLOOKUP($A140,'Institution Evaluation'!$A$56:$K$346,3,0)&amp;""</f>
        <v>Yes</v>
      </c>
      <c r="D140" s="46" t="str">
        <f>VLOOKUP($A140,'Institution Evaluation'!$A$56:$K$346,4,0)&amp;""</f>
        <v>NSSE Shorts as part of the larger NSSE project and Indiana University, is required to undergo privacy training on a regular basis. See https://research.iu.edu/training/citi/index.html
Also, see Qualtrics HECVAT 2025 for more details: https://bcsse.iu.edu/doc/bcsse/Qualtrics%20HECVAT%202025.xlsx</v>
      </c>
      <c r="E140" s="331" t="str">
        <f>VLOOKUP($A140,'Institution Evaluation'!$A$56:$K$346,5,0)&amp;""</f>
        <v>Provide your data privacy document (or a valid link to it) upon submission.</v>
      </c>
      <c r="F140" s="189" t="str">
        <f>VLOOKUP($A140,'Institution Evaluation'!$A$56:$K$346,6,0)&amp;""</f>
        <v/>
      </c>
      <c r="G140" s="31" t="str">
        <f>VLOOKUP($A140,'Institution Evaluation'!$A$56:$K$346,7,0)&amp;""</f>
        <v>Yes</v>
      </c>
      <c r="H140" s="186" t="str">
        <f>VLOOKUP($A140,'Institution Evaluation'!$A$56:$K$346,8,0)&amp;""</f>
        <v/>
      </c>
      <c r="I140" s="46" t="str">
        <f>VLOOKUP($A140,'Institution Evaluation'!$A$56:$K$346,9,0)&amp;""</f>
        <v>Standard Importance</v>
      </c>
      <c r="J140" s="187" t="str">
        <f>VLOOKUP($A140,'Institution Evaluation'!$A$56:$K$346,10,0)&amp;""</f>
        <v/>
      </c>
      <c r="K140" s="49" t="str">
        <f>IF(VLOOKUP($A140,'Institution Evaluation'!$A$56:$K$346,10,0)=TRUE,"Yes","")</f>
        <v/>
      </c>
    </row>
    <row r="141" spans="1:11" ht="195" x14ac:dyDescent="0.2">
      <c r="A141" s="19" t="s">
        <v>92</v>
      </c>
      <c r="B141" s="18" t="str">
        <f>VLOOKUP($A141,Questions!$A$2:$X$333,2,0)</f>
        <v>Do you have a documented, and currently implemented, employee onboarding and offboarding policy?</v>
      </c>
      <c r="C141" s="46" t="str">
        <f>VLOOKUP($A141,'Institution Evaluation'!$A$56:$K$346,3,0)&amp;""</f>
        <v>Yes</v>
      </c>
      <c r="D141" s="46" t="str">
        <f>VLOOKUP($A141,'Institution Evaluation'!$A$56:$K$346,4,0)&amp;""</f>
        <v>NSSE Shorts as part of the larger NSSE project and Indiana University, has required onboarding training regarding data security policies and practices. Research staff who leave are immediately removed from any access to research data.</v>
      </c>
      <c r="E141" s="331" t="str">
        <f>VLOOKUP($A141,'Institution Evaluation'!$A$56:$K$346,5,0)&amp;""</f>
        <v>Provide a reference to your employee onboarding and offboarding policy and supporting documentation or submit it along with this fully populated HECVAT.</v>
      </c>
      <c r="F141" s="189" t="str">
        <f>VLOOKUP($A141,'Institution Evaluation'!$A$56:$K$346,6,0)&amp;""</f>
        <v/>
      </c>
      <c r="G141" s="31" t="str">
        <f>VLOOKUP($A141,'Institution Evaluation'!$A$56:$K$346,7,0)&amp;""</f>
        <v>Yes</v>
      </c>
      <c r="H141" s="186" t="str">
        <f>VLOOKUP($A141,'Institution Evaluation'!$A$56:$K$346,8,0)&amp;""</f>
        <v/>
      </c>
      <c r="I141" s="46" t="str">
        <f>VLOOKUP($A141,'Institution Evaluation'!$A$56:$K$346,9,0)&amp;""</f>
        <v>Standard Importance</v>
      </c>
      <c r="J141" s="187" t="str">
        <f>VLOOKUP($A141,'Institution Evaluation'!$A$56:$K$346,10,0)&amp;""</f>
        <v/>
      </c>
      <c r="K141" s="49" t="str">
        <f>IF(VLOOKUP($A141,'Institution Evaluation'!$A$56:$K$346,10,0)=TRUE,"Yes","")</f>
        <v/>
      </c>
    </row>
    <row r="142" spans="1:11" s="1" customFormat="1" ht="18" x14ac:dyDescent="0.2">
      <c r="A142" s="64" t="str">
        <f>VLOOKUP(LEFT($A143,4),'Auto Responses'!$N$4:$O$38,2,0)&amp;""</f>
        <v xml:space="preserve"> IT Accessibility</v>
      </c>
      <c r="B142" s="23"/>
      <c r="C142" s="32"/>
      <c r="D142" s="32"/>
      <c r="E142" s="332"/>
      <c r="F142" s="133" t="s">
        <v>1066</v>
      </c>
      <c r="G142" s="336" t="s">
        <v>904</v>
      </c>
      <c r="H142" s="336" t="s">
        <v>906</v>
      </c>
      <c r="I142" s="336" t="s">
        <v>19</v>
      </c>
      <c r="J142" s="336" t="s">
        <v>891</v>
      </c>
      <c r="K142" s="32"/>
    </row>
    <row r="143" spans="1:11" ht="90" x14ac:dyDescent="0.2">
      <c r="A143" s="19" t="s">
        <v>97</v>
      </c>
      <c r="B143" s="18" t="str">
        <f>VLOOKUP($A143,Questions!$A$2:$X$333,2,0)</f>
        <v>Web Link to Accessibility Statement or VPAT</v>
      </c>
      <c r="C143" s="46" t="str">
        <f>VLOOKUP($A143,'Institution Evaluation'!$A$56:$K$346,3,0)&amp;""</f>
        <v>https://www.qualtrics.com/commitment-to-accessibility/</v>
      </c>
      <c r="D143" s="46" t="str">
        <f>VLOOKUP($A143,'Institution Evaluation'!$A$56:$K$346,4,0)&amp;""</f>
        <v>NSSE Shorts VPAT: https://nsse.indiana.edu/nsse/nsse-shorts/NSSE-Shorts-Administration-Instructions.html</v>
      </c>
      <c r="E143" s="331" t="str">
        <f>VLOOKUP($A143,'Institution Evaluation'!$A$56:$K$346,5,0)&amp;""</f>
        <v>VPAT can also be added as an attachment</v>
      </c>
      <c r="F143" s="189" t="str">
        <f>VLOOKUP($A143,'Institution Evaluation'!$A$56:$K$346,6,0)&amp;""</f>
        <v/>
      </c>
      <c r="G143" s="31" t="str">
        <f>VLOOKUP($A143,'Institution Evaluation'!$A$56:$K$346,7,0)&amp;""</f>
        <v>Not scored</v>
      </c>
      <c r="H143" s="186" t="str">
        <f>VLOOKUP($A143,'Institution Evaluation'!$A$56:$K$346,8,0)&amp;""</f>
        <v/>
      </c>
      <c r="I143" s="46" t="str">
        <f>VLOOKUP($A143,'Institution Evaluation'!$A$56:$K$346,9,0)&amp;""</f>
        <v/>
      </c>
      <c r="J143" s="187" t="str">
        <f>VLOOKUP($A143,'Institution Evaluation'!$A$56:$K$346,10,0)&amp;""</f>
        <v/>
      </c>
      <c r="K143" s="49" t="str">
        <f>IF(VLOOKUP($A143,'Institution Evaluation'!$A$56:$K$346,10,0)=TRUE,"Yes","")</f>
        <v/>
      </c>
    </row>
    <row r="144" spans="1:11" ht="150" x14ac:dyDescent="0.2">
      <c r="A144" s="19" t="s">
        <v>103</v>
      </c>
      <c r="B144" s="18" t="str">
        <f>VLOOKUP($A144,Questions!$A$2:$X$333,2,0)</f>
        <v>Will your company agree to meet your stated accessibility standard or WCAG 2.1 AA as part of your contractual agreement for the solution?*</v>
      </c>
      <c r="C144" s="46" t="str">
        <f>VLOOKUP($A144,'Institution Evaluation'!$A$56:$K$346,3,0)&amp;""</f>
        <v>No</v>
      </c>
      <c r="D144" s="46" t="str">
        <f>VLOOKUP($A144,'Institution Evaluation'!$A$56:$K$346,4,0)&amp;""</f>
        <v>NSSE Shorts will make every effort to comply with WCAG 2.1 AA standards. See Qualtrics HECVAT 2025 for more details: https://bcsse.iu.edu/doc/bcsse/Qualtrics%20HECVAT%202025.xlsx</v>
      </c>
      <c r="E144" s="331" t="str">
        <f>VLOOKUP($A144,'Institution Evaluation'!$A$56:$K$346,5,0)&amp;""</f>
        <v/>
      </c>
      <c r="F144" s="189" t="str">
        <f>VLOOKUP($A144,'Institution Evaluation'!$A$56:$K$346,6,0)&amp;""</f>
        <v/>
      </c>
      <c r="G144" s="31" t="str">
        <f>VLOOKUP($A144,'Institution Evaluation'!$A$56:$K$346,7,0)&amp;""</f>
        <v>Yes</v>
      </c>
      <c r="H144" s="186" t="str">
        <f>VLOOKUP($A144,'Institution Evaluation'!$A$56:$K$346,8,0)&amp;""</f>
        <v/>
      </c>
      <c r="I144" s="46" t="str">
        <f>VLOOKUP($A144,'Institution Evaluation'!$A$56:$K$346,9,0)&amp;""</f>
        <v>Critical Importance</v>
      </c>
      <c r="J144" s="187" t="str">
        <f>VLOOKUP($A144,'Institution Evaluation'!$A$56:$K$346,10,0)&amp;""</f>
        <v/>
      </c>
      <c r="K144" s="49" t="str">
        <f>IF(VLOOKUP($A144,'Institution Evaluation'!$A$56:$K$346,10,0)=TRUE,"Yes","")</f>
        <v/>
      </c>
    </row>
    <row r="145" spans="1:11" s="1" customFormat="1" ht="18" x14ac:dyDescent="0.2">
      <c r="A145" s="64" t="str">
        <f>VLOOKUP(LEFT($A146,4),'Auto Responses'!$N$4:$O$38,2,0)&amp;""</f>
        <v xml:space="preserve"> Assessment of Third Parties</v>
      </c>
      <c r="B145" s="23"/>
      <c r="C145" s="32"/>
      <c r="D145" s="32"/>
      <c r="E145" s="332"/>
      <c r="F145" s="133" t="s">
        <v>1066</v>
      </c>
      <c r="G145" s="336" t="s">
        <v>904</v>
      </c>
      <c r="H145" s="336" t="s">
        <v>906</v>
      </c>
      <c r="I145" s="336" t="s">
        <v>19</v>
      </c>
      <c r="J145" s="336" t="s">
        <v>891</v>
      </c>
      <c r="K145" s="32"/>
    </row>
    <row r="146" spans="1:11" ht="120" x14ac:dyDescent="0.2">
      <c r="A146" s="19" t="s">
        <v>130</v>
      </c>
      <c r="B146" s="18" t="str">
        <f>VLOOKUP($A146,Questions!$A$2:$X$333,2,0)</f>
        <v>Do you perform security assessments of third-party companies with which you share data (e.g., hosting providers, cloud services, PaaS, IaaS, SaaS)?*</v>
      </c>
      <c r="C146" s="46" t="str">
        <f>VLOOKUP($A146,'Institution Evaluation'!$A$56:$K$346,3,0)&amp;""</f>
        <v>No</v>
      </c>
      <c r="D146" s="46" t="str">
        <f>VLOOKUP($A146,'Institution Evaluation'!$A$56:$K$346,4,0)&amp;""</f>
        <v>NSSE Shorts as a project does not. See Qualtrics HECVAT 2025 for more details: https://bcsse.iu.edu/doc/bcsse/Qualtrics%20HECVAT%202025.xlsx</v>
      </c>
      <c r="E146" s="331" t="str">
        <f>VLOOKUP($A146,'Institution Evaluation'!$A$56:$K$346,5,0)&amp;""</f>
        <v>State your plans to perform security assessments of third-party companies.</v>
      </c>
      <c r="F146" s="189" t="str">
        <f>VLOOKUP($A146,'Institution Evaluation'!$A$56:$K$346,6,0)&amp;""</f>
        <v/>
      </c>
      <c r="G146" s="31" t="str">
        <f>VLOOKUP($A146,'Institution Evaluation'!$A$56:$K$346,7,0)&amp;""</f>
        <v>Yes</v>
      </c>
      <c r="H146" s="186" t="str">
        <f>VLOOKUP($A146,'Institution Evaluation'!$A$56:$K$346,8,0)&amp;""</f>
        <v/>
      </c>
      <c r="I146" s="46" t="str">
        <f>VLOOKUP($A146,'Institution Evaluation'!$A$56:$K$346,9,0)&amp;""</f>
        <v>Critical Importance</v>
      </c>
      <c r="J146" s="187" t="str">
        <f>VLOOKUP($A146,'Institution Evaluation'!$A$56:$K$346,10,0)&amp;""</f>
        <v/>
      </c>
      <c r="K146" s="49" t="str">
        <f>IF(VLOOKUP($A146,'Institution Evaluation'!$A$56:$K$346,10,0)=TRUE,"Yes","")</f>
        <v/>
      </c>
    </row>
    <row r="147" spans="1:11" ht="120" x14ac:dyDescent="0.2">
      <c r="A147" s="19" t="s">
        <v>134</v>
      </c>
      <c r="B147" s="18" t="str">
        <f>VLOOKUP($A147,Questions!$A$2:$X$333,2,0)</f>
        <v>Do you have contractual language in place with third parties governing access to institutional data?*</v>
      </c>
      <c r="C147" s="46" t="str">
        <f>VLOOKUP($A147,'Institution Evaluation'!$A$56:$K$346,3,0)&amp;""</f>
        <v>No</v>
      </c>
      <c r="D147" s="46" t="str">
        <f>VLOOKUP($A147,'Institution Evaluation'!$A$56:$K$346,4,0)&amp;""</f>
        <v>NSSE Shorts as a project does not. See Qualtrics HECVAT 2025 for more details: https://bcsse.iu.edu/doc/bcsse/Qualtrics%20HECVAT%202025.xlsx</v>
      </c>
      <c r="E147" s="331" t="str">
        <f>VLOOKUP($A147,'Institution Evaluation'!$A$56:$K$346,5,0)&amp;""</f>
        <v>List each third party and why institutional data is shared with them. Format example: [Third Party Name] - Reason</v>
      </c>
      <c r="F147" s="189" t="str">
        <f>VLOOKUP($A147,'Institution Evaluation'!$A$56:$K$346,6,0)&amp;""</f>
        <v/>
      </c>
      <c r="G147" s="31" t="str">
        <f>VLOOKUP($A147,'Institution Evaluation'!$A$56:$K$346,7,0)&amp;""</f>
        <v>Yes</v>
      </c>
      <c r="H147" s="186" t="str">
        <f>VLOOKUP($A147,'Institution Evaluation'!$A$56:$K$346,8,0)&amp;""</f>
        <v/>
      </c>
      <c r="I147" s="46" t="str">
        <f>VLOOKUP($A147,'Institution Evaluation'!$A$56:$K$346,9,0)&amp;""</f>
        <v>Critical Importance</v>
      </c>
      <c r="J147" s="187" t="str">
        <f>VLOOKUP($A147,'Institution Evaluation'!$A$56:$K$346,10,0)&amp;""</f>
        <v/>
      </c>
      <c r="K147" s="49" t="str">
        <f>IF(VLOOKUP($A147,'Institution Evaluation'!$A$56:$K$346,10,0)=TRUE,"Yes","")</f>
        <v/>
      </c>
    </row>
    <row r="148" spans="1:11" ht="120" x14ac:dyDescent="0.2">
      <c r="A148" s="19" t="s">
        <v>137</v>
      </c>
      <c r="B148" s="18" t="str">
        <f>VLOOKUP($A148,Questions!$A$2:$X$333,2,0)</f>
        <v>Do the contracts in place with these third parties address liability in the event of a data breach?*</v>
      </c>
      <c r="C148" s="46" t="str">
        <f>VLOOKUP($A148,'Institution Evaluation'!$A$56:$K$346,3,0)&amp;""</f>
        <v>No</v>
      </c>
      <c r="D148" s="46" t="str">
        <f>VLOOKUP($A148,'Institution Evaluation'!$A$56:$K$346,4,0)&amp;""</f>
        <v>NSSE Shorts as a project does not. See Qualtrics HECVAT 2025 for more details: https://bcsse.iu.edu/doc/bcsse/Qualtrics%20HECVAT%202025.xlsx</v>
      </c>
      <c r="E148" s="331" t="str">
        <f>VLOOKUP($A148,'Institution Evaluation'!$A$56:$K$346,5,0)&amp;""</f>
        <v/>
      </c>
      <c r="F148" s="189" t="str">
        <f>VLOOKUP($A148,'Institution Evaluation'!$A$56:$K$346,6,0)&amp;""</f>
        <v/>
      </c>
      <c r="G148" s="31" t="str">
        <f>VLOOKUP($A148,'Institution Evaluation'!$A$56:$K$346,7,0)&amp;""</f>
        <v>Yes</v>
      </c>
      <c r="H148" s="186" t="str">
        <f>VLOOKUP($A148,'Institution Evaluation'!$A$56:$K$346,8,0)&amp;""</f>
        <v/>
      </c>
      <c r="I148" s="46" t="str">
        <f>VLOOKUP($A148,'Institution Evaluation'!$A$56:$K$346,9,0)&amp;""</f>
        <v>Critical Importance</v>
      </c>
      <c r="J148" s="187" t="str">
        <f>VLOOKUP($A148,'Institution Evaluation'!$A$56:$K$346,10,0)&amp;""</f>
        <v/>
      </c>
      <c r="K148" s="49" t="str">
        <f>IF(VLOOKUP($A148,'Institution Evaluation'!$A$56:$K$346,10,0)=TRUE,"Yes","")</f>
        <v/>
      </c>
    </row>
    <row r="149" spans="1:11" ht="120" x14ac:dyDescent="0.2">
      <c r="A149" s="19" t="s">
        <v>138</v>
      </c>
      <c r="B149" s="18" t="str">
        <f>VLOOKUP($A149,Questions!$A$2:$X$333,2,0)</f>
        <v>Do you have an implemented third-party management strategy?*</v>
      </c>
      <c r="C149" s="46" t="str">
        <f>VLOOKUP($A149,'Institution Evaluation'!$A$56:$K$346,3,0)&amp;""</f>
        <v>No</v>
      </c>
      <c r="D149" s="46" t="str">
        <f>VLOOKUP($A149,'Institution Evaluation'!$A$56:$K$346,4,0)&amp;""</f>
        <v>NSSE Shorts as a project does not. See Qualtrics HECVAT 2025 for more details: https://bcsse.iu.edu/doc/bcsse/Qualtrics%20HECVAT%202025.xlsx</v>
      </c>
      <c r="E149" s="331" t="str">
        <f>VLOOKUP($A149,'Institution Evaluation'!$A$56:$K$346,5,0)&amp;""</f>
        <v>State your plans to implement a third-party management strategy.</v>
      </c>
      <c r="F149" s="189" t="str">
        <f>VLOOKUP($A149,'Institution Evaluation'!$A$56:$K$346,6,0)&amp;""</f>
        <v/>
      </c>
      <c r="G149" s="31" t="str">
        <f>VLOOKUP($A149,'Institution Evaluation'!$A$56:$K$346,7,0)&amp;""</f>
        <v>Yes</v>
      </c>
      <c r="H149" s="186" t="str">
        <f>VLOOKUP($A149,'Institution Evaluation'!$A$56:$K$346,8,0)&amp;""</f>
        <v/>
      </c>
      <c r="I149" s="46" t="str">
        <f>VLOOKUP($A149,'Institution Evaluation'!$A$56:$K$346,9,0)&amp;""</f>
        <v>Critical Importance</v>
      </c>
      <c r="J149" s="187" t="str">
        <f>VLOOKUP($A149,'Institution Evaluation'!$A$56:$K$346,10,0)&amp;""</f>
        <v/>
      </c>
      <c r="K149" s="49" t="str">
        <f>IF(VLOOKUP($A149,'Institution Evaluation'!$A$56:$K$346,10,0)=TRUE,"Yes","")</f>
        <v/>
      </c>
    </row>
    <row r="150" spans="1:11" s="1" customFormat="1" ht="18" x14ac:dyDescent="0.2">
      <c r="A150" s="64" t="str">
        <f>VLOOKUP(LEFT($A151,4),'Auto Responses'!$N$4:$O$38,2,0)&amp;""</f>
        <v xml:space="preserve"> Consulting Services</v>
      </c>
      <c r="B150" s="23"/>
      <c r="C150" s="32"/>
      <c r="D150" s="32"/>
      <c r="E150" s="332"/>
      <c r="F150" s="133" t="s">
        <v>1066</v>
      </c>
      <c r="G150" s="336" t="s">
        <v>904</v>
      </c>
      <c r="H150" s="336" t="s">
        <v>906</v>
      </c>
      <c r="I150" s="336" t="s">
        <v>19</v>
      </c>
      <c r="J150" s="336" t="s">
        <v>891</v>
      </c>
      <c r="K150" s="32"/>
    </row>
    <row r="151" spans="1:11" ht="90" x14ac:dyDescent="0.2">
      <c r="A151" s="19" t="s">
        <v>146</v>
      </c>
      <c r="B151" s="18" t="str">
        <f>VLOOKUP($A151,Questions!$A$2:$X$333,2,0)</f>
        <v>Will the consultant require access to the institution's network resources?*</v>
      </c>
      <c r="C151" s="46" t="str">
        <f>VLOOKUP($A151,'Institution Evaluation'!$A$56:$K$346,3,0)&amp;""</f>
        <v/>
      </c>
      <c r="D151" s="46" t="str">
        <f>VLOOKUP($A151,'Institution Evaluation'!$A$56:$K$346,4,0)&amp;""</f>
        <v>This question does not apply.</v>
      </c>
      <c r="E151" s="331" t="str">
        <f>VLOOKUP($A151,'Institution Evaluation'!$A$56:$K$346,5,0)&amp;""</f>
        <v>Based on the response to REQU-03 on the "START HERE" tab, this question does not apply to this product or service.</v>
      </c>
      <c r="F151" s="189" t="str">
        <f>VLOOKUP($A151,'Institution Evaluation'!$A$56:$K$346,6,0)&amp;""</f>
        <v/>
      </c>
      <c r="G151" s="31" t="str">
        <f>VLOOKUP($A151,'Institution Evaluation'!$A$56:$K$346,7,0)&amp;""</f>
        <v>No</v>
      </c>
      <c r="H151" s="186" t="str">
        <f>VLOOKUP($A151,'Institution Evaluation'!$A$56:$K$346,8,0)&amp;""</f>
        <v/>
      </c>
      <c r="I151" s="46" t="str">
        <f>VLOOKUP($A151,'Institution Evaluation'!$A$56:$K$346,9,0)&amp;""</f>
        <v>Critical Importance</v>
      </c>
      <c r="J151" s="187" t="str">
        <f>VLOOKUP($A151,'Institution Evaluation'!$A$56:$K$346,10,0)&amp;""</f>
        <v/>
      </c>
      <c r="K151" s="49" t="str">
        <f>IF(VLOOKUP($A151,'Institution Evaluation'!$A$56:$K$346,10,0)=TRUE,"Yes","")</f>
        <v/>
      </c>
    </row>
    <row r="152" spans="1:11" ht="90" x14ac:dyDescent="0.2">
      <c r="A152" s="19" t="s">
        <v>150</v>
      </c>
      <c r="B152" s="18" t="str">
        <f>VLOOKUP($A152,Questions!$A$2:$X$333,2,0)</f>
        <v>Has the consultant received training on (sensitive, HIPAA, PCI, etc.) data handling?*</v>
      </c>
      <c r="C152" s="46" t="str">
        <f>VLOOKUP($A152,'Institution Evaluation'!$A$56:$K$346,3,0)&amp;""</f>
        <v/>
      </c>
      <c r="D152" s="46" t="str">
        <f>VLOOKUP($A152,'Institution Evaluation'!$A$56:$K$346,4,0)&amp;""</f>
        <v>This question does not apply.</v>
      </c>
      <c r="E152" s="331" t="str">
        <f>VLOOKUP($A152,'Institution Evaluation'!$A$56:$K$346,5,0)&amp;""</f>
        <v>Based on the response to REQU-03 on the "START HERE" tab, this question does not apply to this product or service.</v>
      </c>
      <c r="F152" s="189" t="str">
        <f>VLOOKUP($A152,'Institution Evaluation'!$A$56:$K$346,6,0)&amp;""</f>
        <v/>
      </c>
      <c r="G152" s="31" t="str">
        <f>VLOOKUP($A152,'Institution Evaluation'!$A$56:$K$346,7,0)&amp;""</f>
        <v>Yes</v>
      </c>
      <c r="H152" s="186" t="str">
        <f>VLOOKUP($A152,'Institution Evaluation'!$A$56:$K$346,8,0)&amp;""</f>
        <v/>
      </c>
      <c r="I152" s="46" t="str">
        <f>VLOOKUP($A152,'Institution Evaluation'!$A$56:$K$346,9,0)&amp;""</f>
        <v>Critical Importance</v>
      </c>
      <c r="J152" s="187" t="str">
        <f>VLOOKUP($A152,'Institution Evaluation'!$A$56:$K$346,10,0)&amp;""</f>
        <v/>
      </c>
      <c r="K152" s="49" t="str">
        <f>IF(VLOOKUP($A152,'Institution Evaluation'!$A$56:$K$346,10,0)=TRUE,"Yes","")</f>
        <v/>
      </c>
    </row>
    <row r="153" spans="1:11" ht="90" x14ac:dyDescent="0.2">
      <c r="A153" s="19" t="s">
        <v>151</v>
      </c>
      <c r="B153" s="18" t="str">
        <f>VLOOKUP($A153,Questions!$A$2:$X$333,2,0)</f>
        <v>Is the data encrypted (at rest) while in the consultant's possession?*</v>
      </c>
      <c r="C153" s="46" t="str">
        <f>VLOOKUP($A153,'Institution Evaluation'!$A$56:$K$346,3,0)&amp;""</f>
        <v/>
      </c>
      <c r="D153" s="46" t="str">
        <f>VLOOKUP($A153,'Institution Evaluation'!$A$56:$K$346,4,0)&amp;""</f>
        <v>This question does not apply.</v>
      </c>
      <c r="E153" s="331" t="str">
        <f>VLOOKUP($A153,'Institution Evaluation'!$A$56:$K$346,5,0)&amp;""</f>
        <v>Based on the response to REQU-03 on the "START HERE" tab, this question does not apply to this product or service.</v>
      </c>
      <c r="F153" s="189" t="str">
        <f>VLOOKUP($A153,'Institution Evaluation'!$A$56:$K$346,6,0)&amp;""</f>
        <v/>
      </c>
      <c r="G153" s="31" t="str">
        <f>VLOOKUP($A153,'Institution Evaluation'!$A$56:$K$346,7,0)&amp;""</f>
        <v>Yes</v>
      </c>
      <c r="H153" s="186" t="str">
        <f>VLOOKUP($A153,'Institution Evaluation'!$A$56:$K$346,8,0)&amp;""</f>
        <v/>
      </c>
      <c r="I153" s="46" t="str">
        <f>VLOOKUP($A153,'Institution Evaluation'!$A$56:$K$346,9,0)&amp;""</f>
        <v>Critical Importance</v>
      </c>
      <c r="J153" s="187" t="str">
        <f>VLOOKUP($A153,'Institution Evaluation'!$A$56:$K$346,10,0)&amp;""</f>
        <v/>
      </c>
      <c r="K153" s="49" t="str">
        <f>IF(VLOOKUP($A153,'Institution Evaluation'!$A$56:$K$346,10,0)=TRUE,"Yes","")</f>
        <v/>
      </c>
    </row>
    <row r="154" spans="1:11" ht="90" x14ac:dyDescent="0.2">
      <c r="A154" s="19" t="s">
        <v>153</v>
      </c>
      <c r="B154" s="18" t="str">
        <f>VLOOKUP($A154,Questions!$A$2:$X$333,2,0)</f>
        <v>Can access be restricted based on source IP address?*</v>
      </c>
      <c r="C154" s="46" t="str">
        <f>VLOOKUP($A154,'Institution Evaluation'!$A$56:$K$346,3,0)&amp;""</f>
        <v/>
      </c>
      <c r="D154" s="46" t="str">
        <f>VLOOKUP($A154,'Institution Evaluation'!$A$56:$K$346,4,0)&amp;""</f>
        <v>This question does not apply.</v>
      </c>
      <c r="E154" s="331" t="str">
        <f>VLOOKUP($A154,'Institution Evaluation'!$A$56:$K$346,5,0)&amp;""</f>
        <v>Based on the response to REQU-03 on the "START HERE" tab, this question does not apply to this product or service.</v>
      </c>
      <c r="F154" s="189" t="str">
        <f>VLOOKUP($A154,'Institution Evaluation'!$A$56:$K$346,6,0)&amp;""</f>
        <v/>
      </c>
      <c r="G154" s="31" t="str">
        <f>VLOOKUP($A154,'Institution Evaluation'!$A$56:$K$346,7,0)&amp;""</f>
        <v>Yes</v>
      </c>
      <c r="H154" s="186" t="str">
        <f>VLOOKUP($A154,'Institution Evaluation'!$A$56:$K$346,8,0)&amp;""</f>
        <v/>
      </c>
      <c r="I154" s="46" t="str">
        <f>VLOOKUP($A154,'Institution Evaluation'!$A$56:$K$346,9,0)&amp;""</f>
        <v>Critical Importance</v>
      </c>
      <c r="J154" s="187" t="str">
        <f>VLOOKUP($A154,'Institution Evaluation'!$A$56:$K$346,10,0)&amp;""</f>
        <v/>
      </c>
      <c r="K154" s="49" t="str">
        <f>IF(VLOOKUP($A154,'Institution Evaluation'!$A$56:$K$346,10,0)=TRUE,"Yes","")</f>
        <v/>
      </c>
    </row>
    <row r="155" spans="1:11" ht="90" x14ac:dyDescent="0.2">
      <c r="A155" s="19" t="s">
        <v>155</v>
      </c>
      <c r="B155" s="18" t="str">
        <f>VLOOKUP($A155,Questions!$A$2:$X$333,2,0)</f>
        <v>Will the consulting take place on-premises?</v>
      </c>
      <c r="C155" s="46" t="str">
        <f>VLOOKUP($A155,'Institution Evaluation'!$A$56:$K$346,3,0)&amp;""</f>
        <v/>
      </c>
      <c r="D155" s="46" t="str">
        <f>VLOOKUP($A155,'Institution Evaluation'!$A$56:$K$346,4,0)&amp;""</f>
        <v>This question does not apply.</v>
      </c>
      <c r="E155" s="331" t="str">
        <f>VLOOKUP($A155,'Institution Evaluation'!$A$56:$K$346,5,0)&amp;""</f>
        <v>Based on the response to REQU-03 on the "START HERE" tab, this question does not apply to this product or service.</v>
      </c>
      <c r="F155" s="189" t="str">
        <f>VLOOKUP($A155,'Institution Evaluation'!$A$56:$K$346,6,0)&amp;""</f>
        <v/>
      </c>
      <c r="G155" s="31" t="str">
        <f>VLOOKUP($A155,'Institution Evaluation'!$A$56:$K$346,7,0)&amp;""</f>
        <v>No</v>
      </c>
      <c r="H155" s="186" t="str">
        <f>VLOOKUP($A155,'Institution Evaluation'!$A$56:$K$346,8,0)&amp;""</f>
        <v/>
      </c>
      <c r="I155" s="46" t="str">
        <f>VLOOKUP($A155,'Institution Evaluation'!$A$56:$K$346,9,0)&amp;""</f>
        <v>Standard Importance</v>
      </c>
      <c r="J155" s="187" t="str">
        <f>VLOOKUP($A155,'Institution Evaluation'!$A$56:$K$346,10,0)&amp;""</f>
        <v/>
      </c>
      <c r="K155" s="49" t="str">
        <f>IF(VLOOKUP($A155,'Institution Evaluation'!$A$56:$K$346,10,0)=TRUE,"Yes","")</f>
        <v/>
      </c>
    </row>
    <row r="156" spans="1:11" ht="90" x14ac:dyDescent="0.2">
      <c r="A156" s="19" t="s">
        <v>156</v>
      </c>
      <c r="B156" s="18" t="str">
        <f>VLOOKUP($A156,Questions!$A$2:$X$333,2,0)</f>
        <v>Will the consultant require access to hardware in the institution's data centers?</v>
      </c>
      <c r="C156" s="46" t="str">
        <f>VLOOKUP($A156,'Institution Evaluation'!$A$56:$K$346,3,0)&amp;""</f>
        <v/>
      </c>
      <c r="D156" s="46" t="str">
        <f>VLOOKUP($A156,'Institution Evaluation'!$A$56:$K$346,4,0)&amp;""</f>
        <v>This question does not apply.</v>
      </c>
      <c r="E156" s="331" t="str">
        <f>VLOOKUP($A156,'Institution Evaluation'!$A$56:$K$346,5,0)&amp;""</f>
        <v>Based on the response to REQU-03 on the "START HERE" tab, this question does not apply to this product or service.</v>
      </c>
      <c r="F156" s="189" t="str">
        <f>VLOOKUP($A156,'Institution Evaluation'!$A$56:$K$346,6,0)&amp;""</f>
        <v/>
      </c>
      <c r="G156" s="31" t="str">
        <f>VLOOKUP($A156,'Institution Evaluation'!$A$56:$K$346,7,0)&amp;""</f>
        <v>No</v>
      </c>
      <c r="H156" s="186" t="str">
        <f>VLOOKUP($A156,'Institution Evaluation'!$A$56:$K$346,8,0)&amp;""</f>
        <v/>
      </c>
      <c r="I156" s="46" t="str">
        <f>VLOOKUP($A156,'Institution Evaluation'!$A$56:$K$346,9,0)&amp;""</f>
        <v>Standard Importance</v>
      </c>
      <c r="J156" s="187" t="str">
        <f>VLOOKUP($A156,'Institution Evaluation'!$A$56:$K$346,10,0)&amp;""</f>
        <v/>
      </c>
      <c r="K156" s="49" t="str">
        <f>IF(VLOOKUP($A156,'Institution Evaluation'!$A$56:$K$346,10,0)=TRUE,"Yes","")</f>
        <v/>
      </c>
    </row>
    <row r="157" spans="1:11" ht="90" x14ac:dyDescent="0.2">
      <c r="A157" s="19" t="s">
        <v>158</v>
      </c>
      <c r="B157" s="18" t="str">
        <f>VLOOKUP($A157,Questions!$A$2:$X$333,2,0)</f>
        <v>Will the consultant require an account within the institution's domain (@*.edu)?</v>
      </c>
      <c r="C157" s="46" t="str">
        <f>VLOOKUP($A157,'Institution Evaluation'!$A$56:$K$346,3,0)&amp;""</f>
        <v/>
      </c>
      <c r="D157" s="46" t="str">
        <f>VLOOKUP($A157,'Institution Evaluation'!$A$56:$K$346,4,0)&amp;""</f>
        <v>This question does not apply.</v>
      </c>
      <c r="E157" s="331" t="str">
        <f>VLOOKUP($A157,'Institution Evaluation'!$A$56:$K$346,5,0)&amp;""</f>
        <v>Based on the response to REQU-03 on the "START HERE" tab, this question does not apply to this product or service.</v>
      </c>
      <c r="F157" s="189" t="str">
        <f>VLOOKUP($A157,'Institution Evaluation'!$A$56:$K$346,6,0)&amp;""</f>
        <v/>
      </c>
      <c r="G157" s="31" t="str">
        <f>VLOOKUP($A157,'Institution Evaluation'!$A$56:$K$346,7,0)&amp;""</f>
        <v>No</v>
      </c>
      <c r="H157" s="186" t="str">
        <f>VLOOKUP($A157,'Institution Evaluation'!$A$56:$K$346,8,0)&amp;""</f>
        <v/>
      </c>
      <c r="I157" s="46" t="str">
        <f>VLOOKUP($A157,'Institution Evaluation'!$A$56:$K$346,9,0)&amp;""</f>
        <v>Standard Importance</v>
      </c>
      <c r="J157" s="187" t="str">
        <f>VLOOKUP($A157,'Institution Evaluation'!$A$56:$K$346,10,0)&amp;""</f>
        <v/>
      </c>
      <c r="K157" s="49" t="str">
        <f>IF(VLOOKUP($A157,'Institution Evaluation'!$A$56:$K$346,10,0)=TRUE,"Yes","")</f>
        <v/>
      </c>
    </row>
    <row r="158" spans="1:11" ht="90" x14ac:dyDescent="0.2">
      <c r="A158" s="19" t="s">
        <v>159</v>
      </c>
      <c r="B158" s="18" t="str">
        <f>VLOOKUP($A158,Questions!$A$2:$X$333,2,0)</f>
        <v>Will any data be transferred to the consultant's possession?</v>
      </c>
      <c r="C158" s="46" t="str">
        <f>VLOOKUP($A158,'Institution Evaluation'!$A$56:$K$346,3,0)&amp;""</f>
        <v/>
      </c>
      <c r="D158" s="46" t="str">
        <f>VLOOKUP($A158,'Institution Evaluation'!$A$56:$K$346,4,0)&amp;""</f>
        <v>This question does not apply.</v>
      </c>
      <c r="E158" s="331" t="str">
        <f>VLOOKUP($A158,'Institution Evaluation'!$A$56:$K$346,5,0)&amp;""</f>
        <v>Based on the response to REQU-03 on the "START HERE" tab, this question does not apply to this product or service.</v>
      </c>
      <c r="F158" s="189" t="str">
        <f>VLOOKUP($A158,'Institution Evaluation'!$A$56:$K$346,6,0)&amp;""</f>
        <v/>
      </c>
      <c r="G158" s="31" t="str">
        <f>VLOOKUP($A158,'Institution Evaluation'!$A$56:$K$346,7,0)&amp;""</f>
        <v>No</v>
      </c>
      <c r="H158" s="186" t="str">
        <f>VLOOKUP($A158,'Institution Evaluation'!$A$56:$K$346,8,0)&amp;""</f>
        <v/>
      </c>
      <c r="I158" s="46" t="str">
        <f>VLOOKUP($A158,'Institution Evaluation'!$A$56:$K$346,9,0)&amp;""</f>
        <v>Standard Importance</v>
      </c>
      <c r="J158" s="187" t="str">
        <f>VLOOKUP($A158,'Institution Evaluation'!$A$56:$K$346,10,0)&amp;""</f>
        <v/>
      </c>
      <c r="K158" s="49" t="str">
        <f>IF(VLOOKUP($A158,'Institution Evaluation'!$A$56:$K$346,10,0)=TRUE,"Yes","")</f>
        <v/>
      </c>
    </row>
    <row r="159" spans="1:11" ht="90" x14ac:dyDescent="0.2">
      <c r="A159" s="19" t="s">
        <v>161</v>
      </c>
      <c r="B159" s="18" t="str">
        <f>VLOOKUP($A159,Questions!$A$2:$X$333,2,0)</f>
        <v>Will the consultant need remote access to the institution's network or systems?</v>
      </c>
      <c r="C159" s="46" t="str">
        <f>VLOOKUP($A159,'Institution Evaluation'!$A$56:$K$346,3,0)&amp;""</f>
        <v/>
      </c>
      <c r="D159" s="46" t="str">
        <f>VLOOKUP($A159,'Institution Evaluation'!$A$56:$K$346,4,0)&amp;""</f>
        <v>This question does not apply.</v>
      </c>
      <c r="E159" s="331" t="str">
        <f>VLOOKUP($A159,'Institution Evaluation'!$A$56:$K$346,5,0)&amp;""</f>
        <v>Based on the response to REQU-03 on the "START HERE" tab, this question does not apply to this product or service.</v>
      </c>
      <c r="F159" s="189" t="str">
        <f>VLOOKUP($A159,'Institution Evaluation'!$A$56:$K$346,6,0)&amp;""</f>
        <v/>
      </c>
      <c r="G159" s="31" t="str">
        <f>VLOOKUP($A159,'Institution Evaluation'!$A$56:$K$346,7,0)&amp;""</f>
        <v>No</v>
      </c>
      <c r="H159" s="186" t="str">
        <f>VLOOKUP($A159,'Institution Evaluation'!$A$56:$K$346,8,0)&amp;""</f>
        <v/>
      </c>
      <c r="I159" s="46" t="str">
        <f>VLOOKUP($A159,'Institution Evaluation'!$A$56:$K$346,9,0)&amp;""</f>
        <v>Standard Importance</v>
      </c>
      <c r="J159" s="187" t="str">
        <f>VLOOKUP($A159,'Institution Evaluation'!$A$56:$K$346,10,0)&amp;""</f>
        <v/>
      </c>
      <c r="K159" s="49" t="str">
        <f>IF(VLOOKUP($A159,'Institution Evaluation'!$A$56:$K$346,10,0)=TRUE,"Yes","")</f>
        <v/>
      </c>
    </row>
    <row r="160" spans="1:11" s="1" customFormat="1" ht="18" x14ac:dyDescent="0.2">
      <c r="A160" s="64" t="str">
        <f>VLOOKUP(LEFT($A161,4),'Auto Responses'!$N$4:$O$38,2,0)&amp;""</f>
        <v xml:space="preserve"> Application/Service Security</v>
      </c>
      <c r="B160" s="23"/>
      <c r="C160" s="32"/>
      <c r="D160" s="32"/>
      <c r="E160" s="332"/>
      <c r="F160" s="133" t="s">
        <v>1066</v>
      </c>
      <c r="G160" s="336" t="s">
        <v>904</v>
      </c>
      <c r="H160" s="336" t="s">
        <v>906</v>
      </c>
      <c r="I160" s="336" t="s">
        <v>19</v>
      </c>
      <c r="J160" s="336" t="s">
        <v>891</v>
      </c>
      <c r="K160" s="32"/>
    </row>
    <row r="161" spans="1:11" ht="75" x14ac:dyDescent="0.2">
      <c r="A161" s="19" t="s">
        <v>162</v>
      </c>
      <c r="B161" s="18" t="str">
        <f>VLOOKUP($A161,Questions!$A$2:$X$333,2,0)</f>
        <v>Are access controls for institutional accounts based on structured rules, such as role-based access control (RBAC), attribute-based access control (ABAC), or policy-based access control (PBAC)?*</v>
      </c>
      <c r="C161" s="46" t="str">
        <f>VLOOKUP($A161,'Institution Evaluation'!$A$56:$K$346,3,0)&amp;""</f>
        <v>Yes</v>
      </c>
      <c r="D161" s="46" t="str">
        <f>VLOOKUP($A161,'Institution Evaluation'!$A$56:$K$346,4,0)&amp;""</f>
        <v>NSSE Shorts control user access management, including permissions assigned.</v>
      </c>
      <c r="E161" s="331" t="str">
        <f>VLOOKUP($A161,'Institution Evaluation'!$A$56:$K$346,5,0)&amp;""</f>
        <v>Describe available roles.</v>
      </c>
      <c r="F161" s="189" t="str">
        <f>VLOOKUP($A161,'Institution Evaluation'!$A$56:$K$346,6,0)&amp;""</f>
        <v/>
      </c>
      <c r="G161" s="31" t="str">
        <f>VLOOKUP($A161,'Institution Evaluation'!$A$56:$K$346,7,0)&amp;""</f>
        <v>Yes</v>
      </c>
      <c r="H161" s="186" t="str">
        <f>VLOOKUP($A161,'Institution Evaluation'!$A$56:$K$346,8,0)&amp;""</f>
        <v/>
      </c>
      <c r="I161" s="46" t="str">
        <f>VLOOKUP($A161,'Institution Evaluation'!$A$56:$K$346,9,0)&amp;""</f>
        <v>Critical Importance</v>
      </c>
      <c r="J161" s="187" t="str">
        <f>VLOOKUP($A161,'Institution Evaluation'!$A$56:$K$346,10,0)&amp;""</f>
        <v/>
      </c>
      <c r="K161" s="49" t="str">
        <f>IF(VLOOKUP($A161,'Institution Evaluation'!$A$56:$K$346,10,0)=TRUE,"Yes","")</f>
        <v/>
      </c>
    </row>
    <row r="162" spans="1:11" ht="285" x14ac:dyDescent="0.2">
      <c r="A162" s="19" t="s">
        <v>167</v>
      </c>
      <c r="B162" s="18" t="str">
        <f>VLOOKUP($A162,Questions!$A$2:$X$333,2,0)</f>
        <v>Are you using a web application firewall (WAF)?*</v>
      </c>
      <c r="C162" s="46" t="str">
        <f>VLOOKUP($A162,'Institution Evaluation'!$A$56:$K$346,3,0)&amp;""</f>
        <v>Yes</v>
      </c>
      <c r="D162" s="46" t="str">
        <f>VLOOKUP($A162,'Institution Evaluation'!$A$56:$K$346,4,0)&amp;""</f>
        <v>Qualtrics takes a multi-tier approach to protect systems that host the Services and Data. Qualtrics employs a web application firewall for protection against DDoS and web application attacks. Any detected attack—including application-layer DDoS, SQL injection and XSS—will be thwarted, and traffic will be dropped or rerouted, so downtime is minimal</v>
      </c>
      <c r="E162" s="331" t="str">
        <f>VLOOKUP($A162,'Institution Evaluation'!$A$56:$K$346,5,0)&amp;""</f>
        <v>Describe the currently implemented WAF.</v>
      </c>
      <c r="F162" s="189" t="str">
        <f>VLOOKUP($A162,'Institution Evaluation'!$A$56:$K$346,6,0)&amp;""</f>
        <v/>
      </c>
      <c r="G162" s="31" t="str">
        <f>VLOOKUP($A162,'Institution Evaluation'!$A$56:$K$346,7,0)&amp;""</f>
        <v>Yes</v>
      </c>
      <c r="H162" s="186" t="str">
        <f>VLOOKUP($A162,'Institution Evaluation'!$A$56:$K$346,8,0)&amp;""</f>
        <v/>
      </c>
      <c r="I162" s="46" t="str">
        <f>VLOOKUP($A162,'Institution Evaluation'!$A$56:$K$346,9,0)&amp;""</f>
        <v>Critical Importance</v>
      </c>
      <c r="J162" s="187" t="str">
        <f>VLOOKUP($A162,'Institution Evaluation'!$A$56:$K$346,10,0)&amp;""</f>
        <v/>
      </c>
      <c r="K162" s="49" t="str">
        <f>IF(VLOOKUP($A162,'Institution Evaluation'!$A$56:$K$346,10,0)=TRUE,"Yes","")</f>
        <v/>
      </c>
    </row>
    <row r="163" spans="1:11" ht="120" x14ac:dyDescent="0.2">
      <c r="A163" s="19" t="s">
        <v>194</v>
      </c>
      <c r="B163" s="18" t="str">
        <f>VLOOKUP($A163,Questions!$A$2:$X$333,2,0)</f>
        <v>Are access controls for staff within your organization based on structured rules, such as RBAC, ABAC, or PBAC?</v>
      </c>
      <c r="C163" s="46" t="str">
        <f>VLOOKUP($A163,'Institution Evaluation'!$A$56:$K$346,3,0)&amp;""</f>
        <v>No</v>
      </c>
      <c r="D163" s="46" t="str">
        <f>VLOOKUP($A163,'Institution Evaluation'!$A$56:$K$346,4,0)&amp;""</f>
        <v>NSSE Shorts as a project does not. See Qualtrics HECVAT 2025 for more details: https://bcsse.iu.edu/doc/bcsse/Qualtrics%20HECVAT%202025.xlsx</v>
      </c>
      <c r="E163" s="331" t="str">
        <f>VLOOKUP($A163,'Institution Evaluation'!$A$56:$K$346,5,0)&amp;""</f>
        <v>Describe any limitations that prevent support for RBAC within your organization.</v>
      </c>
      <c r="F163" s="189" t="str">
        <f>VLOOKUP($A163,'Institution Evaluation'!$A$56:$K$346,6,0)&amp;""</f>
        <v/>
      </c>
      <c r="G163" s="31" t="str">
        <f>VLOOKUP($A163,'Institution Evaluation'!$A$56:$K$346,7,0)&amp;""</f>
        <v>Yes</v>
      </c>
      <c r="H163" s="186" t="str">
        <f>VLOOKUP($A163,'Institution Evaluation'!$A$56:$K$346,8,0)&amp;""</f>
        <v/>
      </c>
      <c r="I163" s="46" t="str">
        <f>VLOOKUP($A163,'Institution Evaluation'!$A$56:$K$346,9,0)&amp;""</f>
        <v>Standard Importance</v>
      </c>
      <c r="J163" s="187" t="str">
        <f>VLOOKUP($A163,'Institution Evaluation'!$A$56:$K$346,10,0)&amp;""</f>
        <v/>
      </c>
      <c r="K163" s="49" t="str">
        <f>IF(VLOOKUP($A163,'Institution Evaluation'!$A$56:$K$346,10,0)=TRUE,"Yes","")</f>
        <v/>
      </c>
    </row>
    <row r="164" spans="1:11" s="1" customFormat="1" ht="18" x14ac:dyDescent="0.2">
      <c r="A164" s="64" t="str">
        <f>VLOOKUP(LEFT($A165,4),'Auto Responses'!$N$4:$O$38,2,0)&amp;""</f>
        <v xml:space="preserve"> Authentication, Authorization, and Account Management</v>
      </c>
      <c r="B164" s="23"/>
      <c r="C164" s="32"/>
      <c r="D164" s="32"/>
      <c r="E164" s="332"/>
      <c r="F164" s="133" t="s">
        <v>1066</v>
      </c>
      <c r="G164" s="336" t="s">
        <v>904</v>
      </c>
      <c r="H164" s="336" t="s">
        <v>906</v>
      </c>
      <c r="I164" s="336" t="s">
        <v>19</v>
      </c>
      <c r="J164" s="336" t="s">
        <v>891</v>
      </c>
      <c r="K164" s="32"/>
    </row>
    <row r="165" spans="1:11" ht="60" x14ac:dyDescent="0.2">
      <c r="A165" s="19" t="s">
        <v>219</v>
      </c>
      <c r="B165" s="18" t="str">
        <f>VLOOKUP($A165,Questions!$A$2:$X$333,2,0)</f>
        <v>Does your solution support single sign-on (SSO) protocols for user and administrator authentication?*</v>
      </c>
      <c r="C165" s="46" t="str">
        <f>VLOOKUP($A165,'Institution Evaluation'!$A$56:$K$346,3,0)&amp;""</f>
        <v>No</v>
      </c>
      <c r="D165" s="46" t="str">
        <f>VLOOKUP($A165,'Institution Evaluation'!$A$56:$K$346,4,0)&amp;""</f>
        <v/>
      </c>
      <c r="E165" s="331" t="str">
        <f>VLOOKUP($A165,'Institution Evaluation'!$A$56:$K$346,5,0)&amp;""</f>
        <v>Describe plans to support strong authentication practices.</v>
      </c>
      <c r="F165" s="189" t="str">
        <f>VLOOKUP($A165,'Institution Evaluation'!$A$56:$K$346,6,0)&amp;""</f>
        <v/>
      </c>
      <c r="G165" s="31" t="str">
        <f>VLOOKUP($A165,'Institution Evaluation'!$A$56:$K$346,7,0)&amp;""</f>
        <v>Yes</v>
      </c>
      <c r="H165" s="186" t="str">
        <f>VLOOKUP($A165,'Institution Evaluation'!$A$56:$K$346,8,0)&amp;""</f>
        <v/>
      </c>
      <c r="I165" s="46" t="str">
        <f>VLOOKUP($A165,'Institution Evaluation'!$A$56:$K$346,9,0)&amp;""</f>
        <v>Critical Importance</v>
      </c>
      <c r="J165" s="187" t="str">
        <f>VLOOKUP($A165,'Institution Evaluation'!$A$56:$K$346,10,0)&amp;""</f>
        <v/>
      </c>
      <c r="K165" s="49" t="str">
        <f>IF(VLOOKUP($A165,'Institution Evaluation'!$A$56:$K$346,10,0)=TRUE,"Yes","")</f>
        <v/>
      </c>
    </row>
    <row r="166" spans="1:11" ht="150" x14ac:dyDescent="0.2">
      <c r="A166" s="19" t="s">
        <v>224</v>
      </c>
      <c r="B166" s="18" t="str">
        <f>VLOOKUP($A166,Questions!$A$2:$X$333,2,0)</f>
        <v>For customers not using SSO, does your solution support local authentication protocols for user and administrator authentication?*</v>
      </c>
      <c r="C166" s="46" t="str">
        <f>VLOOKUP($A166,'Institution Evaluation'!$A$56:$K$346,3,0)&amp;""</f>
        <v>Yes</v>
      </c>
      <c r="D166" s="46" t="str">
        <f>VLOOKUP($A166,'Institution Evaluation'!$A$56:$K$346,4,0)&amp;""</f>
        <v>Password settings are determined by the customer for their own instance. For more information see https://www.qualtrics.com/support/survey-platform/sp-administration/security-tab/</v>
      </c>
      <c r="E166" s="331" t="str">
        <f>VLOOKUP($A166,'Institution Evaluation'!$A$56:$K$346,5,0)&amp;""</f>
        <v>Provide a detailed description of your local authentication mode practices.</v>
      </c>
      <c r="F166" s="189" t="str">
        <f>VLOOKUP($A166,'Institution Evaluation'!$A$56:$K$346,6,0)&amp;""</f>
        <v/>
      </c>
      <c r="G166" s="31" t="str">
        <f>VLOOKUP($A166,'Institution Evaluation'!$A$56:$K$346,7,0)&amp;""</f>
        <v>Yes</v>
      </c>
      <c r="H166" s="186" t="str">
        <f>VLOOKUP($A166,'Institution Evaluation'!$A$56:$K$346,8,0)&amp;""</f>
        <v/>
      </c>
      <c r="I166" s="46" t="str">
        <f>VLOOKUP($A166,'Institution Evaluation'!$A$56:$K$346,9,0)&amp;""</f>
        <v>Critical Importance</v>
      </c>
      <c r="J166" s="187" t="str">
        <f>VLOOKUP($A166,'Institution Evaluation'!$A$56:$K$346,10,0)&amp;""</f>
        <v/>
      </c>
      <c r="K166" s="49" t="str">
        <f>IF(VLOOKUP($A166,'Institution Evaluation'!$A$56:$K$346,10,0)=TRUE,"Yes","")</f>
        <v/>
      </c>
    </row>
    <row r="167" spans="1:11" ht="90" x14ac:dyDescent="0.2">
      <c r="A167" s="19" t="s">
        <v>256</v>
      </c>
      <c r="B167" s="18" t="str">
        <f>VLOOKUP($A167,Questions!$A$2:$X$333,2,0)</f>
        <v>For customers not using SSO, does your application support integration with other authentication and authorization systems?</v>
      </c>
      <c r="C167" s="46" t="str">
        <f>VLOOKUP($A167,'Institution Evaluation'!$A$56:$K$346,3,0)&amp;""</f>
        <v>No</v>
      </c>
      <c r="D167" s="46" t="str">
        <f>VLOOKUP($A167,'Institution Evaluation'!$A$56:$K$346,4,0)&amp;""</f>
        <v/>
      </c>
      <c r="E167" s="331" t="str">
        <f>VLOOKUP($A167,'Institution Evaluation'!$A$56:$K$346,5,0)&amp;""</f>
        <v>Describe any plans to support integration with other authentication and authorization systems.</v>
      </c>
      <c r="F167" s="189" t="str">
        <f>VLOOKUP($A167,'Institution Evaluation'!$A$56:$K$346,6,0)&amp;""</f>
        <v/>
      </c>
      <c r="G167" s="31" t="str">
        <f>VLOOKUP($A167,'Institution Evaluation'!$A$56:$K$346,7,0)&amp;""</f>
        <v>Yes</v>
      </c>
      <c r="H167" s="186" t="str">
        <f>VLOOKUP($A167,'Institution Evaluation'!$A$56:$K$346,8,0)&amp;""</f>
        <v/>
      </c>
      <c r="I167" s="46" t="str">
        <f>VLOOKUP($A167,'Institution Evaluation'!$A$56:$K$346,9,0)&amp;""</f>
        <v>Standard Importance</v>
      </c>
      <c r="J167" s="187" t="str">
        <f>VLOOKUP($A167,'Institution Evaluation'!$A$56:$K$346,10,0)&amp;""</f>
        <v/>
      </c>
      <c r="K167" s="49" t="str">
        <f>IF(VLOOKUP($A167,'Institution Evaluation'!$A$56:$K$346,10,0)=TRUE,"Yes","")</f>
        <v/>
      </c>
    </row>
    <row r="168" spans="1:11" ht="345" x14ac:dyDescent="0.2">
      <c r="A168" s="19" t="s">
        <v>258</v>
      </c>
      <c r="B168" s="18" t="str">
        <f>VLOOKUP($A168,Questions!$A$2:$X$333,2,0)</f>
        <v>Do you allow the customer to specify attribute mappings for any needed information beyond a user identifier? (e.g., Reference eduPerson, ePPA/ePPN/ePE)</v>
      </c>
      <c r="C168" s="46" t="str">
        <f>VLOOKUP($A168,'Institution Evaluation'!$A$56:$K$346,3,0)&amp;""</f>
        <v>No</v>
      </c>
      <c r="D168" s="46" t="str">
        <f>VLOOKUP($A168,'Institution Evaluation'!$A$56:$K$346,4,0)&amp;""</f>
        <v>Customers determine the following about the data stored in the Qualtrics platform:
• Which type of data to collect
• Who to collect data from
• Where to collect data
• What purpose
• When to delete the data
Qualtrics does not classify Data into sub-categories of confidential information. All Data is treated as confidential and is processed equally regardless of their content</v>
      </c>
      <c r="E168" s="331" t="str">
        <f>VLOOKUP($A168,'Institution Evaluation'!$A$56:$K$346,5,0)&amp;""</f>
        <v>Describe plans to allow customers to specify attribute mappings.</v>
      </c>
      <c r="F168" s="189" t="str">
        <f>VLOOKUP($A168,'Institution Evaluation'!$A$56:$K$346,6,0)&amp;""</f>
        <v/>
      </c>
      <c r="G168" s="31" t="str">
        <f>VLOOKUP($A168,'Institution Evaluation'!$A$56:$K$346,7,0)&amp;""</f>
        <v>Yes</v>
      </c>
      <c r="H168" s="186" t="str">
        <f>VLOOKUP($A168,'Institution Evaluation'!$A$56:$K$346,8,0)&amp;""</f>
        <v/>
      </c>
      <c r="I168" s="46" t="str">
        <f>VLOOKUP($A168,'Institution Evaluation'!$A$56:$K$346,9,0)&amp;""</f>
        <v>Standard Importance</v>
      </c>
      <c r="J168" s="187" t="str">
        <f>VLOOKUP($A168,'Institution Evaluation'!$A$56:$K$346,10,0)&amp;""</f>
        <v/>
      </c>
      <c r="K168" s="49" t="str">
        <f>IF(VLOOKUP($A168,'Institution Evaluation'!$A$56:$K$346,10,0)=TRUE,"Yes","")</f>
        <v/>
      </c>
    </row>
    <row r="169" spans="1:11" ht="75" x14ac:dyDescent="0.2">
      <c r="A169" s="19" t="s">
        <v>271</v>
      </c>
      <c r="B169" s="18" t="str">
        <f>VLOOKUP($A169,Questions!$A$2:$X$333,2,0)</f>
        <v>For customers not using SSO, does your application and/or user frontend/portal support multifactor authentication (e.g., Duo, Google Authenticator, OTP, etc.)?</v>
      </c>
      <c r="C169" s="46" t="str">
        <f>VLOOKUP($A169,'Institution Evaluation'!$A$56:$K$346,3,0)&amp;""</f>
        <v>No</v>
      </c>
      <c r="D169" s="46" t="str">
        <f>VLOOKUP($A169,'Institution Evaluation'!$A$56:$K$346,4,0)&amp;""</f>
        <v/>
      </c>
      <c r="E169" s="331" t="str">
        <f>VLOOKUP($A169,'Institution Evaluation'!$A$56:$K$346,5,0)&amp;""</f>
        <v>Based on the response to AAAI-01, this question does not apply to this product or service.</v>
      </c>
      <c r="F169" s="189" t="str">
        <f>VLOOKUP($A169,'Institution Evaluation'!$A$56:$K$346,6,0)&amp;""</f>
        <v/>
      </c>
      <c r="G169" s="31" t="str">
        <f>VLOOKUP($A169,'Institution Evaluation'!$A$56:$K$346,7,0)&amp;""</f>
        <v>Yes</v>
      </c>
      <c r="H169" s="186" t="str">
        <f>VLOOKUP($A169,'Institution Evaluation'!$A$56:$K$346,8,0)&amp;""</f>
        <v/>
      </c>
      <c r="I169" s="46" t="str">
        <f>VLOOKUP($A169,'Institution Evaluation'!$A$56:$K$346,9,0)&amp;""</f>
        <v>Minor Importance</v>
      </c>
      <c r="J169" s="187" t="str">
        <f>VLOOKUP($A169,'Institution Evaluation'!$A$56:$K$346,10,0)&amp;""</f>
        <v/>
      </c>
      <c r="K169" s="49" t="str">
        <f>IF(VLOOKUP($A169,'Institution Evaluation'!$A$56:$K$346,10,0)=TRUE,"Yes","")</f>
        <v/>
      </c>
    </row>
    <row r="170" spans="1:11" s="1" customFormat="1" ht="18" x14ac:dyDescent="0.2">
      <c r="A170" s="64" t="str">
        <f>VLOOKUP(LEFT($A171,4),'Auto Responses'!$N$4:$O$38,2,0)&amp;""</f>
        <v xml:space="preserve"> Change Management</v>
      </c>
      <c r="B170" s="23"/>
      <c r="C170" s="32"/>
      <c r="D170" s="32"/>
      <c r="E170" s="332"/>
      <c r="F170" s="133" t="s">
        <v>1066</v>
      </c>
      <c r="G170" s="336" t="s">
        <v>904</v>
      </c>
      <c r="H170" s="336" t="s">
        <v>906</v>
      </c>
      <c r="I170" s="336" t="s">
        <v>19</v>
      </c>
      <c r="J170" s="336" t="s">
        <v>891</v>
      </c>
      <c r="K170" s="32"/>
    </row>
    <row r="171" spans="1:11" ht="75" x14ac:dyDescent="0.2">
      <c r="A171" s="19" t="s">
        <v>277</v>
      </c>
      <c r="B171" s="18" t="str">
        <f>VLOOKUP($A171,Questions!$A$2:$X$333,2,0)</f>
        <v>Will the institution be notified of major changes to your environment that could impact the institution's security posture?*</v>
      </c>
      <c r="C171" s="46" t="str">
        <f>VLOOKUP($A171,'Institution Evaluation'!$A$56:$K$346,3,0)&amp;""</f>
        <v>Yes</v>
      </c>
      <c r="D171" s="46" t="str">
        <f>VLOOKUP($A171,'Institution Evaluation'!$A$56:$K$346,4,0)&amp;""</f>
        <v/>
      </c>
      <c r="E171" s="331" t="str">
        <f>VLOOKUP($A171,'Institution Evaluation'!$A$56:$K$346,5,0)&amp;""</f>
        <v>State how and when the institution will be notified of major changes to your environment.</v>
      </c>
      <c r="F171" s="189" t="str">
        <f>VLOOKUP($A171,'Institution Evaluation'!$A$56:$K$346,6,0)&amp;""</f>
        <v/>
      </c>
      <c r="G171" s="31" t="str">
        <f>VLOOKUP($A171,'Institution Evaluation'!$A$56:$K$346,7,0)&amp;""</f>
        <v>Yes</v>
      </c>
      <c r="H171" s="186" t="str">
        <f>VLOOKUP($A171,'Institution Evaluation'!$A$56:$K$346,8,0)&amp;""</f>
        <v/>
      </c>
      <c r="I171" s="46" t="str">
        <f>VLOOKUP($A171,'Institution Evaluation'!$A$56:$K$346,9,0)&amp;""</f>
        <v>Critical Importance</v>
      </c>
      <c r="J171" s="187" t="str">
        <f>VLOOKUP($A171,'Institution Evaluation'!$A$56:$K$346,10,0)&amp;""</f>
        <v/>
      </c>
      <c r="K171" s="49" t="str">
        <f>IF(VLOOKUP($A171,'Institution Evaluation'!$A$56:$K$346,10,0)=TRUE,"Yes","")</f>
        <v/>
      </c>
    </row>
    <row r="172" spans="1:11" ht="105" x14ac:dyDescent="0.2">
      <c r="A172" s="19" t="s">
        <v>282</v>
      </c>
      <c r="B172" s="18" t="str">
        <f>VLOOKUP($A172,Questions!$A$2:$X$333,2,0)</f>
        <v>Does the system support client customizations from one release to another?*</v>
      </c>
      <c r="C172" s="46" t="str">
        <f>VLOOKUP($A172,'Institution Evaluation'!$A$56:$K$346,3,0)&amp;""</f>
        <v>No</v>
      </c>
      <c r="D172" s="46" t="str">
        <f>VLOOKUP($A172,'Institution Evaluation'!$A$56:$K$346,4,0)&amp;""</f>
        <v>Only one version of the Qualtrics platform is available. Upgrades and fixes to the platform are implemented across all customers.</v>
      </c>
      <c r="E172" s="331" t="str">
        <f>VLOOKUP($A172,'Institution Evaluation'!$A$56:$K$346,5,0)&amp;""</f>
        <v>Clarify the lack of support strategy for client customizations from one release to another.</v>
      </c>
      <c r="F172" s="189" t="str">
        <f>VLOOKUP($A172,'Institution Evaluation'!$A$56:$K$346,6,0)&amp;""</f>
        <v/>
      </c>
      <c r="G172" s="31" t="str">
        <f>VLOOKUP($A172,'Institution Evaluation'!$A$56:$K$346,7,0)&amp;""</f>
        <v>Yes</v>
      </c>
      <c r="H172" s="186" t="str">
        <f>VLOOKUP($A172,'Institution Evaluation'!$A$56:$K$346,8,0)&amp;""</f>
        <v/>
      </c>
      <c r="I172" s="46" t="str">
        <f>VLOOKUP($A172,'Institution Evaluation'!$A$56:$K$346,9,0)&amp;""</f>
        <v>Critical Importance</v>
      </c>
      <c r="J172" s="187" t="str">
        <f>VLOOKUP($A172,'Institution Evaluation'!$A$56:$K$346,10,0)&amp;""</f>
        <v/>
      </c>
      <c r="K172" s="49" t="str">
        <f>IF(VLOOKUP($A172,'Institution Evaluation'!$A$56:$K$346,10,0)=TRUE,"Yes","")</f>
        <v/>
      </c>
    </row>
    <row r="173" spans="1:11" s="1" customFormat="1" ht="18" x14ac:dyDescent="0.2">
      <c r="A173" s="64" t="str">
        <f>VLOOKUP(LEFT($A174,4),'Auto Responses'!$N$4:$O$38,2,0)&amp;""</f>
        <v xml:space="preserve"> Data</v>
      </c>
      <c r="B173" s="23"/>
      <c r="C173" s="32"/>
      <c r="D173" s="32"/>
      <c r="E173" s="332"/>
      <c r="F173" s="133" t="s">
        <v>1066</v>
      </c>
      <c r="G173" s="336" t="s">
        <v>904</v>
      </c>
      <c r="H173" s="336" t="s">
        <v>906</v>
      </c>
      <c r="I173" s="336" t="s">
        <v>19</v>
      </c>
      <c r="J173" s="336" t="s">
        <v>891</v>
      </c>
      <c r="K173" s="32"/>
    </row>
    <row r="174" spans="1:11" ht="360" x14ac:dyDescent="0.2">
      <c r="A174" s="19" t="s">
        <v>340</v>
      </c>
      <c r="B174" s="18" t="str">
        <f>VLOOKUP($A174,Questions!$A$2:$X$333,2,0)</f>
        <v>Is the storage of sensitive data encrypted using security protocols/algorithms (e.g., disk encryption, at-rest, files, and within a running database)?*</v>
      </c>
      <c r="C174" s="46" t="str">
        <f>VLOOKUP($A174,'Institution Evaluation'!$A$56:$K$346,3,0)&amp;""</f>
        <v>Yes</v>
      </c>
      <c r="D174" s="46" t="str">
        <f>VLOOKUP($A174,'Institution Evaluation'!$A$56:$K$346,4,0)&amp;""</f>
        <v>IU: see IU Data Management https://datamanagement.iu.edu/index.html
Qualtrics: Disk level encryption is standard for Data stored on the platform. Data at rest uses AES 256-bit encryption. Unique keys are generated per server or data storage volume. Encryption keys are stored within a software vault where they are encrypted with key encrypting keys of equivalent strength. Keys are rotated whenever data storage volumes are rebuilt.</v>
      </c>
      <c r="E174" s="331" t="str">
        <f>VLOOKUP($A174,'Institution Evaluation'!$A$56:$K$346,5,0)&amp;""</f>
        <v>Summarize your data encryption strategy and state what encryption options are available.</v>
      </c>
      <c r="F174" s="189" t="str">
        <f>VLOOKUP($A174,'Institution Evaluation'!$A$56:$K$346,6,0)&amp;""</f>
        <v/>
      </c>
      <c r="G174" s="31" t="str">
        <f>VLOOKUP($A174,'Institution Evaluation'!$A$56:$K$346,7,0)&amp;""</f>
        <v>Yes</v>
      </c>
      <c r="H174" s="186" t="str">
        <f>VLOOKUP($A174,'Institution Evaluation'!$A$56:$K$346,8,0)&amp;""</f>
        <v/>
      </c>
      <c r="I174" s="46" t="str">
        <f>VLOOKUP($A174,'Institution Evaluation'!$A$56:$K$346,9,0)&amp;""</f>
        <v>Critical Importance</v>
      </c>
      <c r="J174" s="187" t="str">
        <f>VLOOKUP($A174,'Institution Evaluation'!$A$56:$K$346,10,0)&amp;""</f>
        <v/>
      </c>
      <c r="K174" s="49" t="str">
        <f>IF(VLOOKUP($A174,'Institution Evaluation'!$A$56:$K$346,10,0)=TRUE,"Yes","")</f>
        <v/>
      </c>
    </row>
    <row r="175" spans="1:11" ht="409.5" x14ac:dyDescent="0.2">
      <c r="A175" s="19" t="s">
        <v>344</v>
      </c>
      <c r="B175" s="18" t="str">
        <f>VLOOKUP($A175,Questions!$A$2:$X$333,2,0)</f>
        <v>Do all cryptographic modules in use in your solution conform to the Federal Information Processing Standards (FIPS PUB 140-2 or 140-3)?*</v>
      </c>
      <c r="C175" s="46" t="str">
        <f>VLOOKUP($A175,'Institution Evaluation'!$A$56:$K$346,3,0)&amp;""</f>
        <v>No</v>
      </c>
      <c r="D175" s="46" t="str">
        <f>VLOOKUP($A175,'Institution Evaluation'!$A$56:$K$346,4,0)&amp;""</f>
        <v>Qualtrics: The Federal Information Processing Standards (FIPS) Publication Series of the National Institute of Standards and Technology (NIST) is the official series of publications relating to standards and guidelines adopted and promulgated under the provisions of the Federal Information Security Management Act (FISMA) of 2002. Publication 200, “Minimum Security Requirements for Federal Information and Information Systems” proposes a basis for sound security practices in any organization. Qualtrics meets all requirements as listed in section 3, such as security training, incident response, media protection, and risk assessment. In-transit data (using TLS) are encrypted using FIPS-compliant modules</v>
      </c>
      <c r="E175" s="331" t="str">
        <f>VLOOKUP($A175,'Institution Evaluation'!$A$56:$K$346,5,0)&amp;""</f>
        <v>Provide a detailed description of all non-conforming modules.</v>
      </c>
      <c r="F175" s="189" t="str">
        <f>VLOOKUP($A175,'Institution Evaluation'!$A$56:$K$346,6,0)&amp;""</f>
        <v/>
      </c>
      <c r="G175" s="31" t="str">
        <f>VLOOKUP($A175,'Institution Evaluation'!$A$56:$K$346,7,0)&amp;""</f>
        <v>Yes</v>
      </c>
      <c r="H175" s="186" t="str">
        <f>VLOOKUP($A175,'Institution Evaluation'!$A$56:$K$346,8,0)&amp;""</f>
        <v/>
      </c>
      <c r="I175" s="46" t="str">
        <f>VLOOKUP($A175,'Institution Evaluation'!$A$56:$K$346,9,0)&amp;""</f>
        <v>Critical Importance</v>
      </c>
      <c r="J175" s="187" t="str">
        <f>VLOOKUP($A175,'Institution Evaluation'!$A$56:$K$346,10,0)&amp;""</f>
        <v/>
      </c>
      <c r="K175" s="49" t="str">
        <f>IF(VLOOKUP($A175,'Institution Evaluation'!$A$56:$K$346,10,0)=TRUE,"Yes","")</f>
        <v/>
      </c>
    </row>
    <row r="176" spans="1:11" ht="42.75" x14ac:dyDescent="0.2">
      <c r="A176" s="19" t="s">
        <v>352</v>
      </c>
      <c r="B176" s="18" t="str">
        <f>VLOOKUP($A176,Questions!$A$2:$X$333,2,0)</f>
        <v>Are ownership rights to all data, inputs, outputs, and metadata retained even through a provider acquisition or bankruptcy event?*</v>
      </c>
      <c r="C176" s="46" t="str">
        <f>VLOOKUP($A176,'Institution Evaluation'!$A$56:$K$346,3,0)&amp;""</f>
        <v>Yes</v>
      </c>
      <c r="D176" s="46" t="str">
        <f>VLOOKUP($A176,'Institution Evaluation'!$A$56:$K$346,4,0)&amp;""</f>
        <v>Customers own their data at all times.</v>
      </c>
      <c r="E176" s="331" t="str">
        <f>VLOOKUP($A176,'Institution Evaluation'!$A$56:$K$346,5,0)&amp;""</f>
        <v>Provide references, as needed.</v>
      </c>
      <c r="F176" s="189" t="str">
        <f>VLOOKUP($A176,'Institution Evaluation'!$A$56:$K$346,6,0)&amp;""</f>
        <v/>
      </c>
      <c r="G176" s="31" t="str">
        <f>VLOOKUP($A176,'Institution Evaluation'!$A$56:$K$346,7,0)&amp;""</f>
        <v>Yes</v>
      </c>
      <c r="H176" s="186" t="str">
        <f>VLOOKUP($A176,'Institution Evaluation'!$A$56:$K$346,8,0)&amp;""</f>
        <v/>
      </c>
      <c r="I176" s="46" t="str">
        <f>VLOOKUP($A176,'Institution Evaluation'!$A$56:$K$346,9,0)&amp;""</f>
        <v>Critical Importance</v>
      </c>
      <c r="J176" s="187" t="str">
        <f>VLOOKUP($A176,'Institution Evaluation'!$A$56:$K$346,10,0)&amp;""</f>
        <v/>
      </c>
      <c r="K176" s="49" t="str">
        <f>IF(VLOOKUP($A176,'Institution Evaluation'!$A$56:$K$346,10,0)=TRUE,"Yes","")</f>
        <v/>
      </c>
    </row>
    <row r="177" spans="1:11" ht="75" x14ac:dyDescent="0.2">
      <c r="A177" s="19" t="s">
        <v>354</v>
      </c>
      <c r="B177" s="18" t="str">
        <f>VLOOKUP($A177,Questions!$A$2:$X$333,2,0)</f>
        <v>Do backups containing the institution's data ever leave the institution's data zone either physically or via network routing?*</v>
      </c>
      <c r="C177" s="46" t="str">
        <f>VLOOKUP($A177,'Institution Evaluation'!$A$56:$K$346,3,0)&amp;""</f>
        <v>Yes</v>
      </c>
      <c r="D177" s="46" t="str">
        <f>VLOOKUP($A177,'Institution Evaluation'!$A$56:$K$346,4,0)&amp;""</f>
        <v>Data are stored at IU in Bloomington Indiana and in Qualtrics platform</v>
      </c>
      <c r="E177" s="331" t="str">
        <f>VLOOKUP($A177,'Institution Evaluation'!$A$56:$K$346,5,0)&amp;""</f>
        <v>Summarize why backups containing the institution's data leave the institution's data zone.</v>
      </c>
      <c r="F177" s="189" t="str">
        <f>VLOOKUP($A177,'Institution Evaluation'!$A$56:$K$346,6,0)&amp;""</f>
        <v/>
      </c>
      <c r="G177" s="31" t="str">
        <f>VLOOKUP($A177,'Institution Evaluation'!$A$56:$K$346,7,0)&amp;""</f>
        <v>No</v>
      </c>
      <c r="H177" s="186" t="str">
        <f>VLOOKUP($A177,'Institution Evaluation'!$A$56:$K$346,8,0)&amp;""</f>
        <v/>
      </c>
      <c r="I177" s="46" t="str">
        <f>VLOOKUP($A177,'Institution Evaluation'!$A$56:$K$346,9,0)&amp;""</f>
        <v>Critical Importance</v>
      </c>
      <c r="J177" s="187" t="str">
        <f>VLOOKUP($A177,'Institution Evaluation'!$A$56:$K$346,10,0)&amp;""</f>
        <v/>
      </c>
      <c r="K177" s="49" t="str">
        <f>IF(VLOOKUP($A177,'Institution Evaluation'!$A$56:$K$346,10,0)=TRUE,"Yes","")</f>
        <v/>
      </c>
    </row>
    <row r="178" spans="1:11" ht="45" x14ac:dyDescent="0.2">
      <c r="A178" s="19" t="s">
        <v>356</v>
      </c>
      <c r="B178" s="18" t="str">
        <f>VLOOKUP($A178,Questions!$A$2:$X$333,2,0)</f>
        <v>Is media used for long-term retention of business data and archival purposes stored in a secure, environmentally protected area?*</v>
      </c>
      <c r="C178" s="46" t="str">
        <f>VLOOKUP($A178,'Institution Evaluation'!$A$56:$K$346,3,0)&amp;""</f>
        <v>Yes</v>
      </c>
      <c r="D178" s="46" t="str">
        <f>VLOOKUP($A178,'Institution Evaluation'!$A$56:$K$346,4,0)&amp;""</f>
        <v/>
      </c>
      <c r="E178" s="331" t="str">
        <f>VLOOKUP($A178,'Institution Evaluation'!$A$56:$K$346,5,0)&amp;""</f>
        <v>Provide a general summary of your archival environment.</v>
      </c>
      <c r="F178" s="189" t="str">
        <f>VLOOKUP($A178,'Institution Evaluation'!$A$56:$K$346,6,0)&amp;""</f>
        <v/>
      </c>
      <c r="G178" s="31" t="str">
        <f>VLOOKUP($A178,'Institution Evaluation'!$A$56:$K$346,7,0)&amp;""</f>
        <v>Yes</v>
      </c>
      <c r="H178" s="186" t="str">
        <f>VLOOKUP($A178,'Institution Evaluation'!$A$56:$K$346,8,0)&amp;""</f>
        <v/>
      </c>
      <c r="I178" s="46" t="str">
        <f>VLOOKUP($A178,'Institution Evaluation'!$A$56:$K$346,9,0)&amp;""</f>
        <v>Critical Importance</v>
      </c>
      <c r="J178" s="187" t="str">
        <f>VLOOKUP($A178,'Institution Evaluation'!$A$56:$K$346,10,0)&amp;""</f>
        <v/>
      </c>
      <c r="K178" s="49" t="str">
        <f>IF(VLOOKUP($A178,'Institution Evaluation'!$A$56:$K$346,10,0)=TRUE,"Yes","")</f>
        <v/>
      </c>
    </row>
    <row r="179" spans="1:11" ht="105" x14ac:dyDescent="0.2">
      <c r="A179" s="19" t="s">
        <v>360</v>
      </c>
      <c r="B179" s="18" t="str">
        <f>VLOOKUP($A179,Questions!$A$2:$X$333,2,0)</f>
        <v>At the completion of this contract, will data be returned to the institution and/or deleted from all your systems and archives?</v>
      </c>
      <c r="C179" s="46" t="str">
        <f>VLOOKUP($A179,'Institution Evaluation'!$A$56:$K$346,3,0)&amp;""</f>
        <v>Yes</v>
      </c>
      <c r="D179" s="46" t="str">
        <f>VLOOKUP($A179,'Institution Evaluation'!$A$56:$K$346,4,0)&amp;""</f>
        <v>All data are available for download at anytime by the institution</v>
      </c>
      <c r="E179" s="331" t="str">
        <f>VLOOKUP($A179,'Institution Evaluation'!$A$56:$K$346,5,0)&amp;""</f>
        <v>State the length of time that the institution's data will be available in the system at the completion of the contract.</v>
      </c>
      <c r="F179" s="189" t="str">
        <f>VLOOKUP($A179,'Institution Evaluation'!$A$56:$K$346,6,0)&amp;""</f>
        <v/>
      </c>
      <c r="G179" s="31" t="str">
        <f>VLOOKUP($A179,'Institution Evaluation'!$A$56:$K$346,7,0)&amp;""</f>
        <v>Yes</v>
      </c>
      <c r="H179" s="186" t="str">
        <f>VLOOKUP($A179,'Institution Evaluation'!$A$56:$K$346,8,0)&amp;""</f>
        <v/>
      </c>
      <c r="I179" s="46" t="str">
        <f>VLOOKUP($A179,'Institution Evaluation'!$A$56:$K$346,9,0)&amp;""</f>
        <v>Standard Importance</v>
      </c>
      <c r="J179" s="187" t="str">
        <f>VLOOKUP($A179,'Institution Evaluation'!$A$56:$K$346,10,0)&amp;""</f>
        <v/>
      </c>
      <c r="K179" s="49" t="str">
        <f>IF(VLOOKUP($A179,'Institution Evaluation'!$A$56:$K$346,10,0)=TRUE,"Yes","")</f>
        <v/>
      </c>
    </row>
    <row r="180" spans="1:11" ht="75" x14ac:dyDescent="0.2">
      <c r="A180" s="19" t="s">
        <v>364</v>
      </c>
      <c r="B180" s="18" t="str">
        <f>VLOOKUP($A180,Questions!$A$2:$X$333,2,0)</f>
        <v>Can the institution extract a full or partial backup of data?</v>
      </c>
      <c r="C180" s="46" t="str">
        <f>VLOOKUP($A180,'Institution Evaluation'!$A$56:$K$346,3,0)&amp;""</f>
        <v>Yes</v>
      </c>
      <c r="D180" s="46" t="str">
        <f>VLOOKUP($A180,'Institution Evaluation'!$A$56:$K$346,4,0)&amp;""</f>
        <v>All data are available for download at anytime by the institution</v>
      </c>
      <c r="E180" s="331" t="str">
        <f>VLOOKUP($A180,'Institution Evaluation'!$A$56:$K$346,5,0)&amp;""</f>
        <v>Provide a general summary of how full and partial backups of data can be extracted.</v>
      </c>
      <c r="F180" s="189" t="str">
        <f>VLOOKUP($A180,'Institution Evaluation'!$A$56:$K$346,6,0)&amp;""</f>
        <v/>
      </c>
      <c r="G180" s="31" t="str">
        <f>VLOOKUP($A180,'Institution Evaluation'!$A$56:$K$346,7,0)&amp;""</f>
        <v>Yes</v>
      </c>
      <c r="H180" s="186" t="str">
        <f>VLOOKUP($A180,'Institution Evaluation'!$A$56:$K$346,8,0)&amp;""</f>
        <v/>
      </c>
      <c r="I180" s="46" t="str">
        <f>VLOOKUP($A180,'Institution Evaluation'!$A$56:$K$346,9,0)&amp;""</f>
        <v>Standard Importance</v>
      </c>
      <c r="J180" s="187" t="str">
        <f>VLOOKUP($A180,'Institution Evaluation'!$A$56:$K$346,10,0)&amp;""</f>
        <v/>
      </c>
      <c r="K180" s="49" t="str">
        <f>IF(VLOOKUP($A180,'Institution Evaluation'!$A$56:$K$346,10,0)=TRUE,"Yes","")</f>
        <v/>
      </c>
    </row>
    <row r="181" spans="1:11" ht="60" x14ac:dyDescent="0.2">
      <c r="A181" s="19" t="s">
        <v>368</v>
      </c>
      <c r="B181" s="18" t="str">
        <f>VLOOKUP($A181,Questions!$A$2:$X$333,2,0)</f>
        <v>Do current backups include all operating system software, utilities, security software, application software, and data files necessary for recovery?</v>
      </c>
      <c r="C181" s="46" t="str">
        <f>VLOOKUP($A181,'Institution Evaluation'!$A$56:$K$346,3,0)&amp;""</f>
        <v>Yes</v>
      </c>
      <c r="D181" s="46" t="str">
        <f>VLOOKUP($A181,'Institution Evaluation'!$A$56:$K$346,4,0)&amp;""</f>
        <v/>
      </c>
      <c r="E181" s="331" t="str">
        <f>VLOOKUP($A181,'Institution Evaluation'!$A$56:$K$346,5,0)&amp;""</f>
        <v>Decribe your overall strategy to accomplish these elements.</v>
      </c>
      <c r="F181" s="189" t="str">
        <f>VLOOKUP($A181,'Institution Evaluation'!$A$56:$K$346,6,0)&amp;""</f>
        <v/>
      </c>
      <c r="G181" s="31" t="str">
        <f>VLOOKUP($A181,'Institution Evaluation'!$A$56:$K$346,7,0)&amp;""</f>
        <v>Yes</v>
      </c>
      <c r="H181" s="186" t="str">
        <f>VLOOKUP($A181,'Institution Evaluation'!$A$56:$K$346,8,0)&amp;""</f>
        <v/>
      </c>
      <c r="I181" s="46" t="str">
        <f>VLOOKUP($A181,'Institution Evaluation'!$A$56:$K$346,9,0)&amp;""</f>
        <v>Standard Importance</v>
      </c>
      <c r="J181" s="187" t="str">
        <f>VLOOKUP($A181,'Institution Evaluation'!$A$56:$K$346,10,0)&amp;""</f>
        <v/>
      </c>
      <c r="K181" s="49" t="str">
        <f>IF(VLOOKUP($A181,'Institution Evaluation'!$A$56:$K$346,10,0)=TRUE,"Yes","")</f>
        <v/>
      </c>
    </row>
    <row r="182" spans="1:11" ht="60" x14ac:dyDescent="0.2">
      <c r="A182" s="19" t="s">
        <v>372</v>
      </c>
      <c r="B182" s="18" t="str">
        <f>VLOOKUP($A182,Questions!$A$2:$X$333,2,0)</f>
        <v>Are you performing off-site backups (i.e., digitally moved off site)?</v>
      </c>
      <c r="C182" s="46" t="str">
        <f>VLOOKUP($A182,'Institution Evaluation'!$A$56:$K$346,3,0)&amp;""</f>
        <v>No</v>
      </c>
      <c r="D182" s="46" t="str">
        <f>VLOOKUP($A182,'Institution Evaluation'!$A$56:$K$346,4,0)&amp;""</f>
        <v/>
      </c>
      <c r="E182" s="331" t="str">
        <f>VLOOKUP($A182,'Institution Evaluation'!$A$56:$K$346,5,0)&amp;""</f>
        <v>State any plans to implement off-site virtual backups in your environment.</v>
      </c>
      <c r="F182" s="189" t="str">
        <f>VLOOKUP($A182,'Institution Evaluation'!$A$56:$K$346,6,0)&amp;""</f>
        <v/>
      </c>
      <c r="G182" s="31" t="str">
        <f>VLOOKUP($A182,'Institution Evaluation'!$A$56:$K$346,7,0)&amp;""</f>
        <v>Yes</v>
      </c>
      <c r="H182" s="186" t="str">
        <f>VLOOKUP($A182,'Institution Evaluation'!$A$56:$K$346,8,0)&amp;""</f>
        <v/>
      </c>
      <c r="I182" s="46" t="str">
        <f>VLOOKUP($A182,'Institution Evaluation'!$A$56:$K$346,9,0)&amp;""</f>
        <v>Standard Importance</v>
      </c>
      <c r="J182" s="187" t="str">
        <f>VLOOKUP($A182,'Institution Evaluation'!$A$56:$K$346,10,0)&amp;""</f>
        <v/>
      </c>
      <c r="K182" s="49" t="str">
        <f>IF(VLOOKUP($A182,'Institution Evaluation'!$A$56:$K$346,10,0)=TRUE,"Yes","")</f>
        <v/>
      </c>
    </row>
    <row r="183" spans="1:11" ht="60" x14ac:dyDescent="0.2">
      <c r="A183" s="19" t="s">
        <v>378</v>
      </c>
      <c r="B183" s="18" t="str">
        <f>VLOOKUP($A183,Questions!$A$2:$X$333,2,0)</f>
        <v>Are physical backups taken off-site (i.e., physically moved off site)?</v>
      </c>
      <c r="C183" s="46" t="str">
        <f>VLOOKUP($A183,'Institution Evaluation'!$A$56:$K$346,3,0)&amp;""</f>
        <v>No</v>
      </c>
      <c r="D183" s="46" t="str">
        <f>VLOOKUP($A183,'Institution Evaluation'!$A$56:$K$346,4,0)&amp;""</f>
        <v/>
      </c>
      <c r="E183" s="331" t="str">
        <f>VLOOKUP($A183,'Institution Evaluation'!$A$56:$K$346,5,0)&amp;""</f>
        <v>State any plans to implement off-site physical backups in your environment.</v>
      </c>
      <c r="F183" s="189" t="str">
        <f>VLOOKUP($A183,'Institution Evaluation'!$A$56:$K$346,6,0)&amp;""</f>
        <v/>
      </c>
      <c r="G183" s="31" t="str">
        <f>VLOOKUP($A183,'Institution Evaluation'!$A$56:$K$346,7,0)&amp;""</f>
        <v>Yes</v>
      </c>
      <c r="H183" s="186" t="str">
        <f>VLOOKUP($A183,'Institution Evaluation'!$A$56:$K$346,8,0)&amp;""</f>
        <v/>
      </c>
      <c r="I183" s="46" t="str">
        <f>VLOOKUP($A183,'Institution Evaluation'!$A$56:$K$346,9,0)&amp;""</f>
        <v>Standard Importance</v>
      </c>
      <c r="J183" s="187" t="str">
        <f>VLOOKUP($A183,'Institution Evaluation'!$A$56:$K$346,10,0)&amp;""</f>
        <v/>
      </c>
      <c r="K183" s="49" t="str">
        <f>IF(VLOOKUP($A183,'Institution Evaluation'!$A$56:$K$346,10,0)=TRUE,"Yes","")</f>
        <v/>
      </c>
    </row>
    <row r="184" spans="1:11" ht="45" x14ac:dyDescent="0.2">
      <c r="A184" s="19" t="s">
        <v>383</v>
      </c>
      <c r="B184" s="18" t="str">
        <f>VLOOKUP($A184,Questions!$A$2:$X$333,2,0)</f>
        <v>Are data backups encrypted?</v>
      </c>
      <c r="C184" s="46" t="str">
        <f>VLOOKUP($A184,'Institution Evaluation'!$A$56:$K$346,3,0)&amp;""</f>
        <v>No</v>
      </c>
      <c r="D184" s="46" t="str">
        <f>VLOOKUP($A184,'Institution Evaluation'!$A$56:$K$346,4,0)&amp;""</f>
        <v>All data are stored on secure IU servers and at Qualtrics</v>
      </c>
      <c r="E184" s="331" t="str">
        <f>VLOOKUP($A184,'Institution Evaluation'!$A$56:$K$346,5,0)&amp;""</f>
        <v>Summarize why backups are not encrypted.</v>
      </c>
      <c r="F184" s="189" t="str">
        <f>VLOOKUP($A184,'Institution Evaluation'!$A$56:$K$346,6,0)&amp;""</f>
        <v/>
      </c>
      <c r="G184" s="31" t="str">
        <f>VLOOKUP($A184,'Institution Evaluation'!$A$56:$K$346,7,0)&amp;""</f>
        <v>Yes</v>
      </c>
      <c r="H184" s="186" t="str">
        <f>VLOOKUP($A184,'Institution Evaluation'!$A$56:$K$346,8,0)&amp;""</f>
        <v/>
      </c>
      <c r="I184" s="46" t="str">
        <f>VLOOKUP($A184,'Institution Evaluation'!$A$56:$K$346,9,0)&amp;""</f>
        <v>Minor Importance</v>
      </c>
      <c r="J184" s="187" t="str">
        <f>VLOOKUP($A184,'Institution Evaluation'!$A$56:$K$346,10,0)&amp;""</f>
        <v/>
      </c>
      <c r="K184" s="49" t="str">
        <f>IF(VLOOKUP($A184,'Institution Evaluation'!$A$56:$K$346,10,0)=TRUE,"Yes","")</f>
        <v/>
      </c>
    </row>
    <row r="185" spans="1:11" ht="120" x14ac:dyDescent="0.2">
      <c r="A185" s="19" t="s">
        <v>384</v>
      </c>
      <c r="B185" s="18" t="str">
        <f>VLOOKUP($A185,Questions!$A$2:$X$333,2,0)</f>
        <v>Do you have a media handling process that is documented and currently implemented that meets established business needs and regulatory requirements, including end-of-life, repurposing, and data-sanitization procedures?</v>
      </c>
      <c r="C185" s="46" t="str">
        <f>VLOOKUP($A185,'Institution Evaluation'!$A$56:$K$346,3,0)&amp;""</f>
        <v>No</v>
      </c>
      <c r="D185" s="46" t="str">
        <f>VLOOKUP($A185,'Institution Evaluation'!$A$56:$K$346,4,0)&amp;""</f>
        <v>NSSE Shorts as a project does not. See Qualtrics HECVAT 2025 for more details: https://bcsse.iu.edu/doc/bcsse/Qualtrics%20HECVAT%202025.xlsx</v>
      </c>
      <c r="E185" s="331" t="str">
        <f>VLOOKUP($A185,'Institution Evaluation'!$A$56:$K$346,5,0)&amp;""</f>
        <v>Provide a detailed summary of media handling processes that do exist.</v>
      </c>
      <c r="F185" s="189" t="str">
        <f>VLOOKUP($A185,'Institution Evaluation'!$A$56:$K$346,6,0)&amp;""</f>
        <v/>
      </c>
      <c r="G185" s="31" t="str">
        <f>VLOOKUP($A185,'Institution Evaluation'!$A$56:$K$346,7,0)&amp;""</f>
        <v>Yes</v>
      </c>
      <c r="H185" s="186" t="str">
        <f>VLOOKUP($A185,'Institution Evaluation'!$A$56:$K$346,8,0)&amp;""</f>
        <v/>
      </c>
      <c r="I185" s="46" t="str">
        <f>VLOOKUP($A185,'Institution Evaluation'!$A$56:$K$346,9,0)&amp;""</f>
        <v>Standard Importance</v>
      </c>
      <c r="J185" s="187" t="str">
        <f>VLOOKUP($A185,'Institution Evaluation'!$A$56:$K$346,10,0)&amp;""</f>
        <v/>
      </c>
      <c r="K185" s="49" t="str">
        <f>IF(VLOOKUP($A185,'Institution Evaluation'!$A$56:$K$346,10,0)=TRUE,"Yes","")</f>
        <v/>
      </c>
    </row>
    <row r="186" spans="1:11" ht="60" x14ac:dyDescent="0.2">
      <c r="A186" s="19" t="s">
        <v>390</v>
      </c>
      <c r="B186" s="18" t="str">
        <f>VLOOKUP($A186,Questions!$A$2:$X$333,2,0)</f>
        <v>Does your staff (or third party) have access to institutional data (e.g., financial, PHI, or other sensitive information) through any means?</v>
      </c>
      <c r="C186" s="46" t="str">
        <f>VLOOKUP($A186,'Institution Evaluation'!$A$56:$K$346,3,0)&amp;""</f>
        <v>Yes</v>
      </c>
      <c r="D186" s="46" t="str">
        <f>VLOOKUP($A186,'Institution Evaluation'!$A$56:$K$346,4,0)&amp;""</f>
        <v>NSSE Shorts staff have access to student survey data</v>
      </c>
      <c r="E186" s="331" t="str">
        <f>VLOOKUP($A186,'Institution Evaluation'!$A$56:$K$346,5,0)&amp;""</f>
        <v>Summarize what access staff (or third parties) have to institutional data.</v>
      </c>
      <c r="F186" s="189" t="str">
        <f>VLOOKUP($A186,'Institution Evaluation'!$A$56:$K$346,6,0)&amp;""</f>
        <v/>
      </c>
      <c r="G186" s="31" t="str">
        <f>VLOOKUP($A186,'Institution Evaluation'!$A$56:$K$346,7,0)&amp;""</f>
        <v>No</v>
      </c>
      <c r="H186" s="186" t="str">
        <f>VLOOKUP($A186,'Institution Evaluation'!$A$56:$K$346,8,0)&amp;""</f>
        <v/>
      </c>
      <c r="I186" s="46" t="str">
        <f>VLOOKUP($A186,'Institution Evaluation'!$A$56:$K$346,9,0)&amp;""</f>
        <v>Standard Importance</v>
      </c>
      <c r="J186" s="187" t="str">
        <f>VLOOKUP($A186,'Institution Evaluation'!$A$56:$K$346,10,0)&amp;""</f>
        <v/>
      </c>
      <c r="K186" s="49" t="str">
        <f>IF(VLOOKUP($A186,'Institution Evaluation'!$A$56:$K$346,10,0)=TRUE,"Yes","")</f>
        <v/>
      </c>
    </row>
    <row r="187" spans="1:11" ht="120" x14ac:dyDescent="0.2">
      <c r="A187" s="19" t="s">
        <v>409</v>
      </c>
      <c r="B187" s="18" t="str">
        <f>VLOOKUP($A187,Questions!$A$2:$X$333,2,0)</f>
        <v>Are involatile backup copies made according to predefined schedules and securely stored and protected?</v>
      </c>
      <c r="C187" s="46" t="str">
        <f>VLOOKUP($A187,'Institution Evaluation'!$A$56:$K$346,3,0)&amp;""</f>
        <v>No</v>
      </c>
      <c r="D187" s="46" t="str">
        <f>VLOOKUP($A187,'Institution Evaluation'!$A$56:$K$346,4,0)&amp;""</f>
        <v>NSSE Shorts as a project does not. See Qualtrics HECVAT 2025 for more details: https://bcsse.iu.edu/doc/bcsse/Qualtrics%20HECVAT%202025.xlsx</v>
      </c>
      <c r="E187" s="331" t="str">
        <f>VLOOKUP($A187,'Institution Evaluation'!$A$56:$K$346,5,0)&amp;""</f>
        <v>State how the institution's data is protected from system failures and ransomware.</v>
      </c>
      <c r="F187" s="189" t="str">
        <f>VLOOKUP($A187,'Institution Evaluation'!$A$56:$K$346,6,0)&amp;""</f>
        <v/>
      </c>
      <c r="G187" s="31" t="str">
        <f>VLOOKUP($A187,'Institution Evaluation'!$A$56:$K$346,7,0)&amp;""</f>
        <v>Yes</v>
      </c>
      <c r="H187" s="186" t="str">
        <f>VLOOKUP($A187,'Institution Evaluation'!$A$56:$K$346,8,0)&amp;""</f>
        <v/>
      </c>
      <c r="I187" s="46" t="str">
        <f>VLOOKUP($A187,'Institution Evaluation'!$A$56:$K$346,9,0)&amp;""</f>
        <v>Minor Importance</v>
      </c>
      <c r="J187" s="187" t="str">
        <f>VLOOKUP($A187,'Institution Evaluation'!$A$56:$K$346,10,0)&amp;""</f>
        <v/>
      </c>
      <c r="K187" s="49" t="str">
        <f>IF(VLOOKUP($A187,'Institution Evaluation'!$A$56:$K$346,10,0)=TRUE,"Yes","")</f>
        <v/>
      </c>
    </row>
    <row r="188" spans="1:11" ht="120" x14ac:dyDescent="0.2">
      <c r="A188" s="19" t="s">
        <v>413</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6" t="str">
        <f>VLOOKUP($A188,'Institution Evaluation'!$A$56:$K$346,3,0)&amp;""</f>
        <v>No</v>
      </c>
      <c r="D188" s="46" t="str">
        <f>VLOOKUP($A188,'Institution Evaluation'!$A$56:$K$346,4,0)&amp;""</f>
        <v>NSSE Shorts as a project does not. See Qualtrics HECVAT 2025 for more details: https://bcsse.iu.edu/doc/bcsse/Qualtrics%20HECVAT%202025.xlsx</v>
      </c>
      <c r="E188" s="331" t="str">
        <f>VLOOKUP($A188,'Institution Evaluation'!$A$56:$K$346,5,0)&amp;""</f>
        <v>Summarize your cryptographic key management process.</v>
      </c>
      <c r="F188" s="189" t="str">
        <f>VLOOKUP($A188,'Institution Evaluation'!$A$56:$K$346,6,0)&amp;""</f>
        <v/>
      </c>
      <c r="G188" s="31" t="str">
        <f>VLOOKUP($A188,'Institution Evaluation'!$A$56:$K$346,7,0)&amp;""</f>
        <v>Yes</v>
      </c>
      <c r="H188" s="186" t="str">
        <f>VLOOKUP($A188,'Institution Evaluation'!$A$56:$K$346,8,0)&amp;""</f>
        <v/>
      </c>
      <c r="I188" s="46" t="str">
        <f>VLOOKUP($A188,'Institution Evaluation'!$A$56:$K$346,9,0)&amp;""</f>
        <v>Minor Importance</v>
      </c>
      <c r="J188" s="187" t="str">
        <f>VLOOKUP($A188,'Institution Evaluation'!$A$56:$K$346,10,0)&amp;""</f>
        <v/>
      </c>
      <c r="K188" s="49" t="str">
        <f>IF(VLOOKUP($A188,'Institution Evaluation'!$A$56:$K$346,10,0)=TRUE,"Yes","")</f>
        <v/>
      </c>
    </row>
    <row r="189" spans="1:11" s="1" customFormat="1" ht="18" x14ac:dyDescent="0.2">
      <c r="A189" s="64" t="str">
        <f>VLOOKUP(LEFT($A190,4),'Auto Responses'!$N$4:$O$38,2,0)&amp;""</f>
        <v xml:space="preserve"> Datacenter</v>
      </c>
      <c r="B189" s="23"/>
      <c r="C189" s="32"/>
      <c r="D189" s="32"/>
      <c r="E189" s="332"/>
      <c r="F189" s="133" t="s">
        <v>1066</v>
      </c>
      <c r="G189" s="336" t="s">
        <v>904</v>
      </c>
      <c r="H189" s="336" t="s">
        <v>906</v>
      </c>
      <c r="I189" s="336" t="s">
        <v>19</v>
      </c>
      <c r="J189" s="336" t="s">
        <v>891</v>
      </c>
      <c r="K189" s="32"/>
    </row>
    <row r="190" spans="1:11" ht="90" x14ac:dyDescent="0.2">
      <c r="A190" s="19" t="s">
        <v>418</v>
      </c>
      <c r="B190" s="18" t="str">
        <f>VLOOKUP($A190,Questions!$A$2:$X$333,2,0)</f>
        <v>Select your hosting option.</v>
      </c>
      <c r="C190" s="46" t="str">
        <f>VLOOKUP($A190,'Institution Evaluation'!$A$56:$K$346,3,0)&amp;""</f>
        <v>AWS</v>
      </c>
      <c r="D190" s="46" t="str">
        <f>VLOOKUP($A190,'Institution Evaluation'!$A$56:$K$346,4,0)&amp;""</f>
        <v>See Qualtrics HECVAT 2025 for more details: https://bcsse.iu.edu/doc/bcsse/Qualtrics%20HECVAT%202025.xlsx</v>
      </c>
      <c r="E190" s="331" t="str">
        <f>VLOOKUP($A190,'Institution Evaluation'!$A$56:$K$346,5,0)&amp;""</f>
        <v/>
      </c>
      <c r="F190" s="189" t="str">
        <f>VLOOKUP($A190,'Institution Evaluation'!$A$56:$K$346,6,0)&amp;""</f>
        <v/>
      </c>
      <c r="G190" s="31" t="str">
        <f>VLOOKUP($A190,'Institution Evaluation'!$A$56:$K$346,7,0)&amp;""</f>
        <v>Not scored</v>
      </c>
      <c r="H190" s="186" t="str">
        <f>VLOOKUP($A190,'Institution Evaluation'!$A$56:$K$346,8,0)&amp;""</f>
        <v/>
      </c>
      <c r="I190" s="46" t="str">
        <f>VLOOKUP($A190,'Institution Evaluation'!$A$56:$K$346,9,0)&amp;""</f>
        <v/>
      </c>
      <c r="J190" s="187" t="str">
        <f>VLOOKUP($A190,'Institution Evaluation'!$A$56:$K$346,10,0)&amp;""</f>
        <v/>
      </c>
      <c r="K190" s="49" t="str">
        <f>IF(VLOOKUP($A190,'Institution Evaluation'!$A$56:$K$346,10,0)=TRUE,"Yes","")</f>
        <v/>
      </c>
    </row>
    <row r="191" spans="1:11" ht="75" x14ac:dyDescent="0.2">
      <c r="A191" s="19" t="s">
        <v>425</v>
      </c>
      <c r="B191" s="18" t="str">
        <f>VLOOKUP($A191,Questions!$A$2:$X$333,2,0)</f>
        <v>Are you generally able to accommodate storing each institution's data within its geographic region?</v>
      </c>
      <c r="C191" s="46" t="str">
        <f>VLOOKUP($A191,'Institution Evaluation'!$A$56:$K$346,3,0)&amp;""</f>
        <v>No</v>
      </c>
      <c r="D191" s="46" t="str">
        <f>VLOOKUP($A191,'Institution Evaluation'!$A$56:$K$346,4,0)&amp;""</f>
        <v/>
      </c>
      <c r="E191" s="331" t="str">
        <f>VLOOKUP($A191,'Institution Evaluation'!$A$56:$K$346,5,0)&amp;""</f>
        <v>Under what circumstances would institutional data leave a designated region or regions?</v>
      </c>
      <c r="F191" s="189" t="str">
        <f>VLOOKUP($A191,'Institution Evaluation'!$A$56:$K$346,6,0)&amp;""</f>
        <v/>
      </c>
      <c r="G191" s="31" t="str">
        <f>VLOOKUP($A191,'Institution Evaluation'!$A$56:$K$346,7,0)&amp;""</f>
        <v>Yes</v>
      </c>
      <c r="H191" s="186" t="str">
        <f>VLOOKUP($A191,'Institution Evaluation'!$A$56:$K$346,8,0)&amp;""</f>
        <v/>
      </c>
      <c r="I191" s="46" t="str">
        <f>VLOOKUP($A191,'Institution Evaluation'!$A$56:$K$346,9,0)&amp;""</f>
        <v>Standard Importance</v>
      </c>
      <c r="J191" s="187" t="str">
        <f>VLOOKUP($A191,'Institution Evaluation'!$A$56:$K$346,10,0)&amp;""</f>
        <v/>
      </c>
      <c r="K191" s="49" t="str">
        <f>IF(VLOOKUP($A191,'Institution Evaluation'!$A$56:$K$346,10,0)=TRUE,"Yes","")</f>
        <v/>
      </c>
    </row>
    <row r="192" spans="1:11" s="1" customFormat="1" ht="18" x14ac:dyDescent="0.2">
      <c r="A192" s="64" t="str">
        <f>VLOOKUP(LEFT($A193,4),'Auto Responses'!$N$4:$O$38,2,0)&amp;""</f>
        <v xml:space="preserve"> Firewalls, IDS, IPS, and Networking</v>
      </c>
      <c r="B192" s="23"/>
      <c r="C192" s="32"/>
      <c r="D192" s="32"/>
      <c r="E192" s="332"/>
      <c r="F192" s="133" t="s">
        <v>1066</v>
      </c>
      <c r="G192" s="336" t="s">
        <v>904</v>
      </c>
      <c r="H192" s="336" t="s">
        <v>906</v>
      </c>
      <c r="I192" s="336" t="s">
        <v>19</v>
      </c>
      <c r="J192" s="336" t="s">
        <v>891</v>
      </c>
      <c r="K192" s="32"/>
    </row>
    <row r="193" spans="1:11" ht="180" x14ac:dyDescent="0.2">
      <c r="A193" s="19" t="s">
        <v>473</v>
      </c>
      <c r="B193" s="18" t="str">
        <f>VLOOKUP($A193,Questions!$A$2:$X$333,2,0)</f>
        <v>Are you utilizing a stateful packet inspection (SPI) firewall?*</v>
      </c>
      <c r="C193" s="46" t="str">
        <f>VLOOKUP($A193,'Institution Evaluation'!$A$56:$K$346,3,0)&amp;""</f>
        <v>Yes</v>
      </c>
      <c r="D193" s="46" t="str">
        <f>VLOOKUP($A193,'Institution Evaluation'!$A$56:$K$346,4,0)&amp;""</f>
        <v>NSSE Shorts as a project does not. see IU Data Management https://datamanagement.iu.edu/index.html
See Qualtrics HECVAT 2025 for more details: https://bcsse.iu.edu/doc/bcsse/Qualtrics%20HECVAT%202025.xlsx</v>
      </c>
      <c r="E193" s="331" t="str">
        <f>VLOOKUP($A193,'Institution Evaluation'!$A$56:$K$346,5,0)&amp;""</f>
        <v>Describe the currently implemented SPI firewall.</v>
      </c>
      <c r="F193" s="189" t="str">
        <f>VLOOKUP($A193,'Institution Evaluation'!$A$56:$K$346,6,0)&amp;""</f>
        <v/>
      </c>
      <c r="G193" s="31" t="str">
        <f>VLOOKUP($A193,'Institution Evaluation'!$A$56:$K$346,7,0)&amp;""</f>
        <v>Yes</v>
      </c>
      <c r="H193" s="186" t="str">
        <f>VLOOKUP($A193,'Institution Evaluation'!$A$56:$K$346,8,0)&amp;""</f>
        <v/>
      </c>
      <c r="I193" s="46" t="str">
        <f>VLOOKUP($A193,'Institution Evaluation'!$A$56:$K$346,9,0)&amp;""</f>
        <v>Critical Importance</v>
      </c>
      <c r="J193" s="187" t="str">
        <f>VLOOKUP($A193,'Institution Evaluation'!$A$56:$K$346,10,0)&amp;""</f>
        <v/>
      </c>
      <c r="K193" s="49" t="str">
        <f>IF(VLOOKUP($A193,'Institution Evaluation'!$A$56:$K$346,10,0)=TRUE,"Yes","")</f>
        <v/>
      </c>
    </row>
    <row r="194" spans="1:11" ht="180" x14ac:dyDescent="0.2">
      <c r="A194" s="19" t="s">
        <v>476</v>
      </c>
      <c r="B194" s="18" t="str">
        <f>VLOOKUP($A194,Questions!$A$2:$X$333,2,0)</f>
        <v>Do you have a documented policy for firewall change requests?*</v>
      </c>
      <c r="C194" s="46" t="str">
        <f>VLOOKUP($A194,'Institution Evaluation'!$A$56:$K$346,3,0)&amp;""</f>
        <v>Yes</v>
      </c>
      <c r="D194" s="46" t="str">
        <f>VLOOKUP($A194,'Institution Evaluation'!$A$56:$K$346,4,0)&amp;""</f>
        <v>NSSE Shorts as a project does not. see IU Data Management https://datamanagement.iu.edu/index.html
See Qualtrics HECVAT 2025 for more details: https://bcsse.iu.edu/doc/bcsse/Qualtrics%20HECVAT%202025.xlsx</v>
      </c>
      <c r="E194" s="331" t="str">
        <f>VLOOKUP($A194,'Institution Evaluation'!$A$56:$K$346,5,0)&amp;""</f>
        <v>Describe your documented firewall change request policy.</v>
      </c>
      <c r="F194" s="189" t="str">
        <f>VLOOKUP($A194,'Institution Evaluation'!$A$56:$K$346,6,0)&amp;""</f>
        <v/>
      </c>
      <c r="G194" s="31" t="str">
        <f>VLOOKUP($A194,'Institution Evaluation'!$A$56:$K$346,7,0)&amp;""</f>
        <v>Yes</v>
      </c>
      <c r="H194" s="186" t="str">
        <f>VLOOKUP($A194,'Institution Evaluation'!$A$56:$K$346,8,0)&amp;""</f>
        <v/>
      </c>
      <c r="I194" s="46" t="str">
        <f>VLOOKUP($A194,'Institution Evaluation'!$A$56:$K$346,9,0)&amp;""</f>
        <v>Critical Importance</v>
      </c>
      <c r="J194" s="187" t="str">
        <f>VLOOKUP($A194,'Institution Evaluation'!$A$56:$K$346,10,0)&amp;""</f>
        <v/>
      </c>
      <c r="K194" s="49" t="str">
        <f>IF(VLOOKUP($A194,'Institution Evaluation'!$A$56:$K$346,10,0)=TRUE,"Yes","")</f>
        <v/>
      </c>
    </row>
    <row r="195" spans="1:11" ht="180" x14ac:dyDescent="0.2">
      <c r="A195" s="19" t="s">
        <v>481</v>
      </c>
      <c r="B195" s="18" t="str">
        <f>VLOOKUP($A195,Questions!$A$2:$X$333,2,0)</f>
        <v>Have you implemented an intrusion detection system (network-based)?*</v>
      </c>
      <c r="C195" s="46" t="str">
        <f>VLOOKUP($A195,'Institution Evaluation'!$A$56:$K$346,3,0)&amp;""</f>
        <v>Yes</v>
      </c>
      <c r="D195" s="46" t="str">
        <f>VLOOKUP($A195,'Institution Evaluation'!$A$56:$K$346,4,0)&amp;""</f>
        <v>NSSE Shorts as a project does not. see IU Data Management https://datamanagement.iu.edu/index.html
See Qualtrics HECVAT 2025 for more details: https://bcsse.iu.edu/doc/bcsse/Qualtrics%20HECVAT%202025.xlsx</v>
      </c>
      <c r="E195" s="331" t="str">
        <f>VLOOKUP($A195,'Institution Evaluation'!$A$56:$K$346,5,0)&amp;""</f>
        <v>Describe the currently implemented IDS.</v>
      </c>
      <c r="F195" s="189" t="str">
        <f>VLOOKUP($A195,'Institution Evaluation'!$A$56:$K$346,6,0)&amp;""</f>
        <v/>
      </c>
      <c r="G195" s="31" t="str">
        <f>VLOOKUP($A195,'Institution Evaluation'!$A$56:$K$346,7,0)&amp;""</f>
        <v>Yes</v>
      </c>
      <c r="H195" s="186" t="str">
        <f>VLOOKUP($A195,'Institution Evaluation'!$A$56:$K$346,8,0)&amp;""</f>
        <v/>
      </c>
      <c r="I195" s="46" t="str">
        <f>VLOOKUP($A195,'Institution Evaluation'!$A$56:$K$346,9,0)&amp;""</f>
        <v>Critical Importance</v>
      </c>
      <c r="J195" s="187" t="str">
        <f>VLOOKUP($A195,'Institution Evaluation'!$A$56:$K$346,10,0)&amp;""</f>
        <v/>
      </c>
      <c r="K195" s="49" t="str">
        <f>IF(VLOOKUP($A195,'Institution Evaluation'!$A$56:$K$346,10,0)=TRUE,"Yes","")</f>
        <v/>
      </c>
    </row>
    <row r="196" spans="1:11" ht="180" x14ac:dyDescent="0.2">
      <c r="A196" s="19" t="s">
        <v>486</v>
      </c>
      <c r="B196" s="18" t="str">
        <f>VLOOKUP($A196,Questions!$A$2:$X$333,2,0)</f>
        <v>Do you employ host-based intrusion detection?*</v>
      </c>
      <c r="C196" s="46" t="str">
        <f>VLOOKUP($A196,'Institution Evaluation'!$A$56:$K$346,3,0)&amp;""</f>
        <v>Yes</v>
      </c>
      <c r="D196" s="46" t="str">
        <f>VLOOKUP($A196,'Institution Evaluation'!$A$56:$K$346,4,0)&amp;""</f>
        <v>NSSE Shorts as a project does not. see IU Data Management https://datamanagement.iu.edu/index.html
See Qualtrics HECVAT 2025 for more details: https://bcsse.iu.edu/doc/bcsse/Qualtrics%20HECVAT%202025.xlsx</v>
      </c>
      <c r="E196" s="331" t="str">
        <f>VLOOKUP($A196,'Institution Evaluation'!$A$56:$K$346,5,0)&amp;""</f>
        <v>Describe the currently implemented host-based IDS solution(s).</v>
      </c>
      <c r="F196" s="189" t="str">
        <f>VLOOKUP($A196,'Institution Evaluation'!$A$56:$K$346,6,0)&amp;""</f>
        <v/>
      </c>
      <c r="G196" s="31" t="str">
        <f>VLOOKUP($A196,'Institution Evaluation'!$A$56:$K$346,7,0)&amp;""</f>
        <v>Yes</v>
      </c>
      <c r="H196" s="186" t="str">
        <f>VLOOKUP($A196,'Institution Evaluation'!$A$56:$K$346,8,0)&amp;""</f>
        <v/>
      </c>
      <c r="I196" s="46" t="str">
        <f>VLOOKUP($A196,'Institution Evaluation'!$A$56:$K$346,9,0)&amp;""</f>
        <v>Critical Importance</v>
      </c>
      <c r="J196" s="187" t="str">
        <f>VLOOKUP($A196,'Institution Evaluation'!$A$56:$K$346,10,0)&amp;""</f>
        <v/>
      </c>
      <c r="K196" s="49" t="str">
        <f>IF(VLOOKUP($A196,'Institution Evaluation'!$A$56:$K$346,10,0)=TRUE,"Yes","")</f>
        <v/>
      </c>
    </row>
    <row r="197" spans="1:11" ht="180" x14ac:dyDescent="0.2">
      <c r="A197" s="19" t="s">
        <v>489</v>
      </c>
      <c r="B197" s="18" t="str">
        <f>VLOOKUP($A197,Questions!$A$2:$X$333,2,0)</f>
        <v>Are audit logs available for all changes to the network, firewall, IDS, and IPS systems?*</v>
      </c>
      <c r="C197" s="46" t="str">
        <f>VLOOKUP($A197,'Institution Evaluation'!$A$56:$K$346,3,0)&amp;""</f>
        <v>Yes</v>
      </c>
      <c r="D197" s="46" t="str">
        <f>VLOOKUP($A197,'Institution Evaluation'!$A$56:$K$346,4,0)&amp;""</f>
        <v>NSSE Shorts as a project does not. see IU Data Management https://datamanagement.iu.edu/index.html
See Qualtrics HECVAT 2025 for more details: https://bcsse.iu.edu/doc/bcsse/Qualtrics%20HECVAT%202025.xlsx</v>
      </c>
      <c r="E197" s="331" t="str">
        <f>VLOOKUP($A197,'Institution Evaluation'!$A$56:$K$346,5,0)&amp;""</f>
        <v>Describe your current network systems logging strategy.</v>
      </c>
      <c r="F197" s="189" t="str">
        <f>VLOOKUP($A197,'Institution Evaluation'!$A$56:$K$346,6,0)&amp;""</f>
        <v/>
      </c>
      <c r="G197" s="31" t="str">
        <f>VLOOKUP($A197,'Institution Evaluation'!$A$56:$K$346,7,0)&amp;""</f>
        <v>Yes</v>
      </c>
      <c r="H197" s="186" t="str">
        <f>VLOOKUP($A197,'Institution Evaluation'!$A$56:$K$346,8,0)&amp;""</f>
        <v/>
      </c>
      <c r="I197" s="46" t="str">
        <f>VLOOKUP($A197,'Institution Evaluation'!$A$56:$K$346,9,0)&amp;""</f>
        <v>Critical Importance</v>
      </c>
      <c r="J197" s="187" t="str">
        <f>VLOOKUP($A197,'Institution Evaluation'!$A$56:$K$346,10,0)&amp;""</f>
        <v/>
      </c>
      <c r="K197" s="49" t="str">
        <f>IF(VLOOKUP($A197,'Institution Evaluation'!$A$56:$K$346,10,0)=TRUE,"Yes","")</f>
        <v/>
      </c>
    </row>
    <row r="198" spans="1:11" ht="180" x14ac:dyDescent="0.2">
      <c r="A198" s="19" t="s">
        <v>501</v>
      </c>
      <c r="B198" s="18" t="str">
        <f>VLOOKUP($A198,Questions!$A$2:$X$333,2,0)</f>
        <v>Are you employing any next-generation persistent threat (NGPT) monitoring?</v>
      </c>
      <c r="C198" s="46" t="str">
        <f>VLOOKUP($A198,'Institution Evaluation'!$A$56:$K$346,3,0)&amp;""</f>
        <v>Yes</v>
      </c>
      <c r="D198" s="46" t="str">
        <f>VLOOKUP($A198,'Institution Evaluation'!$A$56:$K$346,4,0)&amp;""</f>
        <v>NSSE Shorts as a project does not. see IU Data Management https://datamanagement.iu.edu/index.html
See Qualtrics HECVAT 2025 for more details: https://bcsse.iu.edu/doc/bcsse/Qualtrics%20HECVAT%202025.xlsx</v>
      </c>
      <c r="E198" s="331" t="str">
        <f>VLOOKUP($A198,'Institution Evaluation'!$A$56:$K$346,5,0)&amp;""</f>
        <v>Describe your NGPT monitoring strategy.</v>
      </c>
      <c r="F198" s="189" t="str">
        <f>VLOOKUP($A198,'Institution Evaluation'!$A$56:$K$346,6,0)&amp;""</f>
        <v/>
      </c>
      <c r="G198" s="31" t="str">
        <f>VLOOKUP($A198,'Institution Evaluation'!$A$56:$K$346,7,0)&amp;""</f>
        <v>Yes</v>
      </c>
      <c r="H198" s="186" t="str">
        <f>VLOOKUP($A198,'Institution Evaluation'!$A$56:$K$346,8,0)&amp;""</f>
        <v/>
      </c>
      <c r="I198" s="46" t="str">
        <f>VLOOKUP($A198,'Institution Evaluation'!$A$56:$K$346,9,0)&amp;""</f>
        <v>Standard Importance</v>
      </c>
      <c r="J198" s="187" t="str">
        <f>VLOOKUP($A198,'Institution Evaluation'!$A$56:$K$346,10,0)&amp;""</f>
        <v/>
      </c>
      <c r="K198" s="49" t="str">
        <f>IF(VLOOKUP($A198,'Institution Evaluation'!$A$56:$K$346,10,0)=TRUE,"Yes","")</f>
        <v/>
      </c>
    </row>
    <row r="199" spans="1:11" s="1" customFormat="1" ht="18" x14ac:dyDescent="0.2">
      <c r="A199" s="64" t="str">
        <f>VLOOKUP(LEFT($A200,4),'Auto Responses'!$N$4:$O$38,2,0)&amp;""</f>
        <v xml:space="preserve"> Policies, Processes, and Procedures</v>
      </c>
      <c r="B199" s="23"/>
      <c r="C199" s="32"/>
      <c r="D199" s="32"/>
      <c r="E199" s="332"/>
      <c r="F199" s="133" t="s">
        <v>1066</v>
      </c>
      <c r="G199" s="336" t="s">
        <v>904</v>
      </c>
      <c r="H199" s="336" t="s">
        <v>906</v>
      </c>
      <c r="I199" s="336" t="s">
        <v>19</v>
      </c>
      <c r="J199" s="336" t="s">
        <v>891</v>
      </c>
      <c r="K199" s="32"/>
    </row>
    <row r="200" spans="1:11" ht="60" x14ac:dyDescent="0.2">
      <c r="A200" s="19" t="s">
        <v>517</v>
      </c>
      <c r="B200" s="18" t="str">
        <f>VLOOKUP($A200,Questions!$A$2:$X$333,2,0)</f>
        <v>Is your company subject to the institution's geographic region's laws and regulations?*</v>
      </c>
      <c r="C200" s="46" t="str">
        <f>VLOOKUP($A200,'Institution Evaluation'!$A$56:$K$346,3,0)&amp;""</f>
        <v>Yes</v>
      </c>
      <c r="D200" s="46" t="str">
        <f>VLOOKUP($A200,'Institution Evaluation'!$A$56:$K$346,4,0)&amp;""</f>
        <v>NSSE Shorts is part of Indiana University that operates in Bloomington, Indiana</v>
      </c>
      <c r="E200" s="331" t="str">
        <f>VLOOKUP($A200,'Institution Evaluation'!$A$56:$K$346,5,0)&amp;""</f>
        <v>State the country that governs and regulates your company.</v>
      </c>
      <c r="F200" s="189" t="str">
        <f>VLOOKUP($A200,'Institution Evaluation'!$A$56:$K$346,6,0)&amp;""</f>
        <v/>
      </c>
      <c r="G200" s="31" t="str">
        <f>VLOOKUP($A200,'Institution Evaluation'!$A$56:$K$346,7,0)&amp;""</f>
        <v>Yes</v>
      </c>
      <c r="H200" s="186" t="str">
        <f>VLOOKUP($A200,'Institution Evaluation'!$A$56:$K$346,8,0)&amp;""</f>
        <v/>
      </c>
      <c r="I200" s="46" t="str">
        <f>VLOOKUP($A200,'Institution Evaluation'!$A$56:$K$346,9,0)&amp;""</f>
        <v>Critical Importance</v>
      </c>
      <c r="J200" s="187" t="str">
        <f>VLOOKUP($A200,'Institution Evaluation'!$A$56:$K$346,10,0)&amp;""</f>
        <v/>
      </c>
      <c r="K200" s="49" t="str">
        <f>IF(VLOOKUP($A200,'Institution Evaluation'!$A$56:$K$346,10,0)=TRUE,"Yes","")</f>
        <v/>
      </c>
    </row>
    <row r="201" spans="1:11" ht="120" x14ac:dyDescent="0.2">
      <c r="A201" s="19" t="s">
        <v>521</v>
      </c>
      <c r="B201" s="18" t="str">
        <f>VLOOKUP($A201,Questions!$A$2:$X$333,2,0)</f>
        <v>Can you accommodate encryption requirements using open standards?</v>
      </c>
      <c r="C201" s="46" t="str">
        <f>VLOOKUP($A201,'Institution Evaluation'!$A$56:$K$346,3,0)&amp;""</f>
        <v>No</v>
      </c>
      <c r="D201" s="46" t="str">
        <f>VLOOKUP($A201,'Institution Evaluation'!$A$56:$K$346,4,0)&amp;""</f>
        <v>NSSE Shorts as a project does not. See Qualtrics HECVAT 2025 for more details: https://bcsse.iu.edu/doc/bcsse/Qualtrics%20HECVAT%202025.xlsx</v>
      </c>
      <c r="E201" s="331" t="str">
        <f>VLOOKUP($A201,'Institution Evaluation'!$A$56:$K$346,5,0)&amp;""</f>
        <v/>
      </c>
      <c r="F201" s="189" t="str">
        <f>VLOOKUP($A201,'Institution Evaluation'!$A$56:$K$346,6,0)&amp;""</f>
        <v/>
      </c>
      <c r="G201" s="31" t="str">
        <f>VLOOKUP($A201,'Institution Evaluation'!$A$56:$K$346,7,0)&amp;""</f>
        <v>Yes</v>
      </c>
      <c r="H201" s="186" t="str">
        <f>VLOOKUP($A201,'Institution Evaluation'!$A$56:$K$346,8,0)&amp;""</f>
        <v/>
      </c>
      <c r="I201" s="46" t="str">
        <f>VLOOKUP($A201,'Institution Evaluation'!$A$56:$K$346,9,0)&amp;""</f>
        <v>Standard Importance</v>
      </c>
      <c r="J201" s="187" t="str">
        <f>VLOOKUP($A201,'Institution Evaluation'!$A$56:$K$346,10,0)&amp;""</f>
        <v/>
      </c>
      <c r="K201" s="49" t="str">
        <f>IF(VLOOKUP($A201,'Institution Evaluation'!$A$56:$K$346,10,0)=TRUE,"Yes","")</f>
        <v/>
      </c>
    </row>
    <row r="202" spans="1:11" ht="75" x14ac:dyDescent="0.2">
      <c r="A202" s="19" t="s">
        <v>543</v>
      </c>
      <c r="B202" s="18" t="str">
        <f>VLOOKUP($A202,Questions!$A$2:$X$333,2,0)</f>
        <v>Will you comply with applicable breach notification laws?</v>
      </c>
      <c r="C202" s="46" t="str">
        <f>VLOOKUP($A202,'Institution Evaluation'!$A$56:$K$346,3,0)&amp;""</f>
        <v>Yes</v>
      </c>
      <c r="D202" s="46" t="str">
        <f>VLOOKUP($A202,'Institution Evaluation'!$A$56:$K$346,4,0)&amp;""</f>
        <v/>
      </c>
      <c r="E202" s="331" t="str">
        <f>VLOOKUP($A202,'Institution Evaluation'!$A$56:$K$346,5,0)&amp;""</f>
        <v>State how quickly the institution will be notified of a data breach or security incident.</v>
      </c>
      <c r="F202" s="189" t="str">
        <f>VLOOKUP($A202,'Institution Evaluation'!$A$56:$K$346,6,0)&amp;""</f>
        <v/>
      </c>
      <c r="G202" s="31" t="str">
        <f>VLOOKUP($A202,'Institution Evaluation'!$A$56:$K$346,7,0)&amp;""</f>
        <v>Yes</v>
      </c>
      <c r="H202" s="186" t="str">
        <f>VLOOKUP($A202,'Institution Evaluation'!$A$56:$K$346,8,0)&amp;""</f>
        <v/>
      </c>
      <c r="I202" s="46" t="str">
        <f>VLOOKUP($A202,'Institution Evaluation'!$A$56:$K$346,9,0)&amp;""</f>
        <v>Minor Importance</v>
      </c>
      <c r="J202" s="187" t="str">
        <f>VLOOKUP($A202,'Institution Evaluation'!$A$56:$K$346,10,0)&amp;""</f>
        <v/>
      </c>
      <c r="K202" s="49" t="str">
        <f>IF(VLOOKUP($A202,'Institution Evaluation'!$A$56:$K$346,10,0)=TRUE,"Yes","")</f>
        <v/>
      </c>
    </row>
    <row r="203" spans="1:11" ht="180" x14ac:dyDescent="0.2">
      <c r="A203" s="19" t="s">
        <v>547</v>
      </c>
      <c r="B203" s="18" t="str">
        <f>VLOOKUP($A203,Questions!$A$2:$X$333,2,0)</f>
        <v>Do you have an information security awareness program?</v>
      </c>
      <c r="C203" s="46" t="str">
        <f>VLOOKUP($A203,'Institution Evaluation'!$A$56:$K$346,3,0)&amp;""</f>
        <v>Yes</v>
      </c>
      <c r="D203" s="46" t="str">
        <f>VLOOKUP($A203,'Institution Evaluation'!$A$56:$K$346,4,0)&amp;""</f>
        <v>NSSE Shorts as part of the larger NSSE project data security policies that all staff/researchers much agree to. Also see Qualtrics HECVAT 2025 for more details: https://bcsse.iu.edu/doc/bcsse/Qualtrics%20HECVAT%202025.xlsx</v>
      </c>
      <c r="E203" s="331" t="str">
        <f>VLOOKUP($A203,'Institution Evaluation'!$A$56:$K$346,5,0)&amp;""</f>
        <v>Summarize your information security awareness program.</v>
      </c>
      <c r="F203" s="189" t="str">
        <f>VLOOKUP($A203,'Institution Evaluation'!$A$56:$K$346,6,0)&amp;""</f>
        <v/>
      </c>
      <c r="G203" s="31" t="str">
        <f>VLOOKUP($A203,'Institution Evaluation'!$A$56:$K$346,7,0)&amp;""</f>
        <v>Yes</v>
      </c>
      <c r="H203" s="186" t="str">
        <f>VLOOKUP($A203,'Institution Evaluation'!$A$56:$K$346,8,0)&amp;""</f>
        <v/>
      </c>
      <c r="I203" s="46" t="str">
        <f>VLOOKUP($A203,'Institution Evaluation'!$A$56:$K$346,9,0)&amp;""</f>
        <v>Minor Importance</v>
      </c>
      <c r="J203" s="187" t="str">
        <f>VLOOKUP($A203,'Institution Evaluation'!$A$56:$K$346,10,0)&amp;""</f>
        <v/>
      </c>
      <c r="K203" s="49" t="str">
        <f>IF(VLOOKUP($A203,'Institution Evaluation'!$A$56:$K$346,10,0)=TRUE,"Yes","")</f>
        <v/>
      </c>
    </row>
    <row r="204" spans="1:11" ht="180" x14ac:dyDescent="0.2">
      <c r="A204" s="19" t="s">
        <v>552</v>
      </c>
      <c r="B204" s="18" t="str">
        <f>VLOOKUP($A204,Questions!$A$2:$X$333,2,0)</f>
        <v>Is security awareness training mandatory for all employees?</v>
      </c>
      <c r="C204" s="46" t="str">
        <f>VLOOKUP($A204,'Institution Evaluation'!$A$56:$K$346,3,0)&amp;""</f>
        <v>Yes</v>
      </c>
      <c r="D204" s="46" t="str">
        <f>VLOOKUP($A204,'Institution Evaluation'!$A$56:$K$346,4,0)&amp;""</f>
        <v>NSSE Shorts as part of the larger NSSE project data security policies that all staff/researchers much agree to. Also see Qualtrics HECVAT 2025 for more details: https://bcsse.iu.edu/doc/bcsse/Qualtrics%20HECVAT%202025.xlsx</v>
      </c>
      <c r="E204" s="331" t="str">
        <f>VLOOKUP($A204,'Institution Evaluation'!$A$56:$K$346,5,0)&amp;""</f>
        <v>Summarize your security awareness training content and state how frequently employees are required to undergo security awareness training.</v>
      </c>
      <c r="F204" s="189" t="str">
        <f>VLOOKUP($A204,'Institution Evaluation'!$A$56:$K$346,6,0)&amp;""</f>
        <v/>
      </c>
      <c r="G204" s="31" t="str">
        <f>VLOOKUP($A204,'Institution Evaluation'!$A$56:$K$346,7,0)&amp;""</f>
        <v>Yes</v>
      </c>
      <c r="H204" s="186" t="str">
        <f>VLOOKUP($A204,'Institution Evaluation'!$A$56:$K$346,8,0)&amp;""</f>
        <v/>
      </c>
      <c r="I204" s="46" t="str">
        <f>VLOOKUP($A204,'Institution Evaluation'!$A$56:$K$346,9,0)&amp;""</f>
        <v>Minor Importance</v>
      </c>
      <c r="J204" s="187" t="str">
        <f>VLOOKUP($A204,'Institution Evaluation'!$A$56:$K$346,10,0)&amp;""</f>
        <v/>
      </c>
      <c r="K204" s="49" t="str">
        <f>IF(VLOOKUP($A204,'Institution Evaluation'!$A$56:$K$346,10,0)=TRUE,"Yes","")</f>
        <v/>
      </c>
    </row>
    <row r="205" spans="1:11" ht="120" x14ac:dyDescent="0.2">
      <c r="A205" s="19" t="s">
        <v>560</v>
      </c>
      <c r="B205" s="18" t="str">
        <f>VLOOKUP($A205,Questions!$A$2:$X$333,2,0)</f>
        <v>Do you have documented, and currently implemented, internal audit processes and procedures?</v>
      </c>
      <c r="C205" s="46" t="str">
        <f>VLOOKUP($A205,'Institution Evaluation'!$A$56:$K$346,3,0)&amp;""</f>
        <v>No</v>
      </c>
      <c r="D205" s="46" t="str">
        <f>VLOOKUP($A205,'Institution Evaluation'!$A$56:$K$346,4,0)&amp;""</f>
        <v>NSSE Shorts as a project does not. See Qualtrics HECVAT 2025 for more details: https://bcsse.iu.edu/doc/bcsse/Qualtrics%20HECVAT%202025.xlsx</v>
      </c>
      <c r="E205" s="331" t="str">
        <f>VLOOKUP($A205,'Institution Evaluation'!$A$56:$K$346,5,0)&amp;""</f>
        <v>State plans to document and implement internal audit process and procedure in your environment.</v>
      </c>
      <c r="F205" s="189" t="str">
        <f>VLOOKUP($A205,'Institution Evaluation'!$A$56:$K$346,6,0)&amp;""</f>
        <v/>
      </c>
      <c r="G205" s="31" t="str">
        <f>VLOOKUP($A205,'Institution Evaluation'!$A$56:$K$346,7,0)&amp;""</f>
        <v>Yes</v>
      </c>
      <c r="H205" s="186" t="str">
        <f>VLOOKUP($A205,'Institution Evaluation'!$A$56:$K$346,8,0)&amp;""</f>
        <v/>
      </c>
      <c r="I205" s="46" t="str">
        <f>VLOOKUP($A205,'Institution Evaluation'!$A$56:$K$346,9,0)&amp;""</f>
        <v>Minor Importance</v>
      </c>
      <c r="J205" s="187" t="str">
        <f>VLOOKUP($A205,'Institution Evaluation'!$A$56:$K$346,10,0)&amp;""</f>
        <v/>
      </c>
      <c r="K205" s="49" t="str">
        <f>IF(VLOOKUP($A205,'Institution Evaluation'!$A$56:$K$346,10,0)=TRUE,"Yes","")</f>
        <v/>
      </c>
    </row>
    <row r="206" spans="1:11" ht="120" x14ac:dyDescent="0.2">
      <c r="A206" s="19" t="s">
        <v>565</v>
      </c>
      <c r="B206" s="18" t="str">
        <f>VLOOKUP($A206,Questions!$A$2:$X$333,2,0)</f>
        <v>Does your organization have physical security controls and policies in place?</v>
      </c>
      <c r="C206" s="46" t="str">
        <f>VLOOKUP($A206,'Institution Evaluation'!$A$56:$K$346,3,0)&amp;""</f>
        <v>No</v>
      </c>
      <c r="D206" s="46" t="str">
        <f>VLOOKUP($A206,'Institution Evaluation'!$A$56:$K$346,4,0)&amp;""</f>
        <v>NSSE Shorts as a project does not. See Qualtrics HECVAT 2025 for more details: https://bcsse.iu.edu/doc/bcsse/Qualtrics%20HECVAT%202025.xlsx</v>
      </c>
      <c r="E206" s="331" t="str">
        <f>VLOOKUP($A206,'Institution Evaluation'!$A$56:$K$346,5,0)&amp;""</f>
        <v>Describe your intent to implement physical security controls and policies.</v>
      </c>
      <c r="F206" s="189" t="str">
        <f>VLOOKUP($A206,'Institution Evaluation'!$A$56:$K$346,6,0)&amp;""</f>
        <v/>
      </c>
      <c r="G206" s="31" t="str">
        <f>VLOOKUP($A206,'Institution Evaluation'!$A$56:$K$346,7,0)&amp;""</f>
        <v>Yes</v>
      </c>
      <c r="H206" s="186" t="str">
        <f>VLOOKUP($A206,'Institution Evaluation'!$A$56:$K$346,8,0)&amp;""</f>
        <v/>
      </c>
      <c r="I206" s="46" t="str">
        <f>VLOOKUP($A206,'Institution Evaluation'!$A$56:$K$346,9,0)&amp;""</f>
        <v>Minor Importance</v>
      </c>
      <c r="J206" s="187" t="str">
        <f>VLOOKUP($A206,'Institution Evaluation'!$A$56:$K$346,10,0)&amp;""</f>
        <v/>
      </c>
      <c r="K206" s="49" t="str">
        <f>IF(VLOOKUP($A206,'Institution Evaluation'!$A$56:$K$346,10,0)=TRUE,"Yes","")</f>
        <v/>
      </c>
    </row>
    <row r="207" spans="1:11" s="1" customFormat="1" ht="18" x14ac:dyDescent="0.2">
      <c r="A207" s="64" t="str">
        <f>VLOOKUP(LEFT($A208,4),'Auto Responses'!$N$4:$O$38,2,0)&amp;""</f>
        <v xml:space="preserve"> Incident Handling</v>
      </c>
      <c r="B207" s="23"/>
      <c r="C207" s="32"/>
      <c r="D207" s="32"/>
      <c r="E207" s="332"/>
      <c r="F207" s="133" t="s">
        <v>1066</v>
      </c>
      <c r="G207" s="336" t="s">
        <v>904</v>
      </c>
      <c r="H207" s="336" t="s">
        <v>906</v>
      </c>
      <c r="I207" s="336" t="s">
        <v>19</v>
      </c>
      <c r="J207" s="336" t="s">
        <v>891</v>
      </c>
      <c r="K207" s="32"/>
    </row>
    <row r="208" spans="1:11" ht="180" x14ac:dyDescent="0.2">
      <c r="A208" s="19" t="s">
        <v>570</v>
      </c>
      <c r="B208" s="18" t="str">
        <f>VLOOKUP($A208,Questions!$A$2:$X$333,2,0)</f>
        <v>Do you have a formal incident response plan?</v>
      </c>
      <c r="C208" s="46" t="str">
        <f>VLOOKUP($A208,'Institution Evaluation'!$A$56:$K$346,3,0)&amp;""</f>
        <v>Yes</v>
      </c>
      <c r="D208" s="46" t="str">
        <f>VLOOKUP($A208,'Institution Evaluation'!$A$56:$K$346,4,0)&amp;""</f>
        <v>NSSE Shorts as a project does not. see IU Data Management https://datamanagement.iu.edu/index.html
See Qualtrics HECVAT 2025 for more details: https://bcsse.iu.edu/doc/bcsse/Qualtrics%20HECVAT%202025.xlsx</v>
      </c>
      <c r="E208" s="331" t="str">
        <f>VLOOKUP($A208,'Institution Evaluation'!$A$56:$K$346,5,0)&amp;""</f>
        <v>Summarize or provide a link to your formal incident response plan.</v>
      </c>
      <c r="F208" s="189" t="str">
        <f>VLOOKUP($A208,'Institution Evaluation'!$A$56:$K$346,6,0)&amp;""</f>
        <v/>
      </c>
      <c r="G208" s="31" t="str">
        <f>VLOOKUP($A208,'Institution Evaluation'!$A$56:$K$346,7,0)&amp;""</f>
        <v>Yes</v>
      </c>
      <c r="H208" s="186" t="str">
        <f>VLOOKUP($A208,'Institution Evaluation'!$A$56:$K$346,8,0)&amp;""</f>
        <v/>
      </c>
      <c r="I208" s="46" t="str">
        <f>VLOOKUP($A208,'Institution Evaluation'!$A$56:$K$346,9,0)&amp;""</f>
        <v>Standard Importance</v>
      </c>
      <c r="J208" s="187" t="str">
        <f>VLOOKUP($A208,'Institution Evaluation'!$A$56:$K$346,10,0)&amp;""</f>
        <v/>
      </c>
      <c r="K208" s="49" t="str">
        <f>IF(VLOOKUP($A208,'Institution Evaluation'!$A$56:$K$346,10,0)=TRUE,"Yes","")</f>
        <v/>
      </c>
    </row>
    <row r="209" spans="1:11" ht="180" x14ac:dyDescent="0.2">
      <c r="A209" s="19" t="s">
        <v>574</v>
      </c>
      <c r="B209" s="18" t="str">
        <f>VLOOKUP($A209,Questions!$A$2:$X$333,2,0)</f>
        <v>Do you either have an internal incident response team or retain an external team?</v>
      </c>
      <c r="C209" s="46" t="str">
        <f>VLOOKUP($A209,'Institution Evaluation'!$A$56:$K$346,3,0)&amp;""</f>
        <v>Yes</v>
      </c>
      <c r="D209" s="46" t="str">
        <f>VLOOKUP($A209,'Institution Evaluation'!$A$56:$K$346,4,0)&amp;""</f>
        <v>NSSE Shorts as a project does not. see IU Data Management https://datamanagement.iu.edu/index.html
See Qualtrics HECVAT 2025 for more details: https://bcsse.iu.edu/doc/bcsse/Qualtrics%20HECVAT%202025.xlsx</v>
      </c>
      <c r="E209" s="331" t="str">
        <f>VLOOKUP($A209,'Institution Evaluation'!$A$56:$K$346,5,0)&amp;""</f>
        <v>Summarize your incident response and reporting processes.</v>
      </c>
      <c r="F209" s="189" t="str">
        <f>VLOOKUP($A209,'Institution Evaluation'!$A$56:$K$346,6,0)&amp;""</f>
        <v/>
      </c>
      <c r="G209" s="31" t="str">
        <f>VLOOKUP($A209,'Institution Evaluation'!$A$56:$K$346,7,0)&amp;""</f>
        <v>Yes</v>
      </c>
      <c r="H209" s="186" t="str">
        <f>VLOOKUP($A209,'Institution Evaluation'!$A$56:$K$346,8,0)&amp;""</f>
        <v/>
      </c>
      <c r="I209" s="46" t="str">
        <f>VLOOKUP($A209,'Institution Evaluation'!$A$56:$K$346,9,0)&amp;""</f>
        <v>Minor Importance</v>
      </c>
      <c r="J209" s="187" t="str">
        <f>VLOOKUP($A209,'Institution Evaluation'!$A$56:$K$346,10,0)&amp;""</f>
        <v/>
      </c>
      <c r="K209" s="49" t="str">
        <f>IF(VLOOKUP($A209,'Institution Evaluation'!$A$56:$K$346,10,0)=TRUE,"Yes","")</f>
        <v/>
      </c>
    </row>
    <row r="210" spans="1:11" ht="180" x14ac:dyDescent="0.2">
      <c r="A210" s="19" t="s">
        <v>578</v>
      </c>
      <c r="B210" s="18" t="str">
        <f>VLOOKUP($A210,Questions!$A$2:$X$333,2,0)</f>
        <v>Do you have the capability to respond to incidents on a 24 x 7 x 365 basis?</v>
      </c>
      <c r="C210" s="46" t="str">
        <f>VLOOKUP($A210,'Institution Evaluation'!$A$56:$K$346,3,0)&amp;""</f>
        <v>Yes</v>
      </c>
      <c r="D210" s="46" t="str">
        <f>VLOOKUP($A210,'Institution Evaluation'!$A$56:$K$346,4,0)&amp;""</f>
        <v>NSSE Shorts as a project does not. see IU Data Management https://datamanagement.iu.edu/index.html
See Qualtrics HECVAT 2025 for more details: https://bcsse.iu.edu/doc/bcsse/Qualtrics%20HECVAT%202025.xlsx</v>
      </c>
      <c r="E210" s="331" t="str">
        <f>VLOOKUP($A210,'Institution Evaluation'!$A$56:$K$346,5,0)&amp;""</f>
        <v>Summarize your internal approach or reference your third-party contractor.</v>
      </c>
      <c r="F210" s="189" t="str">
        <f>VLOOKUP($A210,'Institution Evaluation'!$A$56:$K$346,6,0)&amp;""</f>
        <v/>
      </c>
      <c r="G210" s="31" t="str">
        <f>VLOOKUP($A210,'Institution Evaluation'!$A$56:$K$346,7,0)&amp;""</f>
        <v>Yes</v>
      </c>
      <c r="H210" s="186" t="str">
        <f>VLOOKUP($A210,'Institution Evaluation'!$A$56:$K$346,8,0)&amp;""</f>
        <v/>
      </c>
      <c r="I210" s="46" t="str">
        <f>VLOOKUP($A210,'Institution Evaluation'!$A$56:$K$346,9,0)&amp;""</f>
        <v>Minor Importance</v>
      </c>
      <c r="J210" s="187" t="str">
        <f>VLOOKUP($A210,'Institution Evaluation'!$A$56:$K$346,10,0)&amp;""</f>
        <v/>
      </c>
      <c r="K210" s="49" t="str">
        <f>IF(VLOOKUP($A210,'Institution Evaluation'!$A$56:$K$346,10,0)=TRUE,"Yes","")</f>
        <v/>
      </c>
    </row>
    <row r="211" spans="1:11" ht="135" x14ac:dyDescent="0.2">
      <c r="A211" s="19" t="s">
        <v>582</v>
      </c>
      <c r="B211" s="18" t="str">
        <f>VLOOKUP($A211,Questions!$A$2:$X$333,2,0)</f>
        <v>Do you carry cyber-risk insurance to protect against unforeseen service outages, data that is lost or stolen, and security incidents?</v>
      </c>
      <c r="C211" s="46" t="str">
        <f>VLOOKUP($A211,'Institution Evaluation'!$A$56:$K$346,3,0)&amp;""</f>
        <v>Yes</v>
      </c>
      <c r="D211" s="46" t="str">
        <f>VLOOKUP($A211,'Institution Evaluation'!$A$56:$K$346,4,0)&amp;""</f>
        <v>Yes, IU carries cyber risk insurance.
Qualtrics cyber insurance can be found here: http://www.qualtrics.com/evidence-of-insurance</v>
      </c>
      <c r="E211" s="331" t="str">
        <f>VLOOKUP($A211,'Institution Evaluation'!$A$56:$K$346,5,0)&amp;""</f>
        <v>Describe the coverage in place for this solution.</v>
      </c>
      <c r="F211" s="189" t="str">
        <f>VLOOKUP($A211,'Institution Evaluation'!$A$56:$K$346,6,0)&amp;""</f>
        <v/>
      </c>
      <c r="G211" s="31" t="str">
        <f>VLOOKUP($A211,'Institution Evaluation'!$A$56:$K$346,7,0)&amp;""</f>
        <v>Yes</v>
      </c>
      <c r="H211" s="186" t="str">
        <f>VLOOKUP($A211,'Institution Evaluation'!$A$56:$K$346,8,0)&amp;""</f>
        <v/>
      </c>
      <c r="I211" s="46" t="str">
        <f>VLOOKUP($A211,'Institution Evaluation'!$A$56:$K$346,9,0)&amp;""</f>
        <v>Minor Importance</v>
      </c>
      <c r="J211" s="187" t="str">
        <f>VLOOKUP($A211,'Institution Evaluation'!$A$56:$K$346,10,0)&amp;""</f>
        <v/>
      </c>
      <c r="K211" s="49" t="str">
        <f>IF(VLOOKUP($A211,'Institution Evaluation'!$A$56:$K$346,10,0)=TRUE,"Yes","")</f>
        <v/>
      </c>
    </row>
    <row r="212" spans="1:11" s="1" customFormat="1" ht="18" x14ac:dyDescent="0.2">
      <c r="A212" s="64" t="str">
        <f>VLOOKUP(LEFT($A213,4),'Auto Responses'!$N$4:$O$38,2,0)&amp;""</f>
        <v xml:space="preserve"> Vulnerability Management</v>
      </c>
      <c r="B212" s="23"/>
      <c r="C212" s="32"/>
      <c r="D212" s="32"/>
      <c r="E212" s="332"/>
      <c r="F212" s="133" t="s">
        <v>1066</v>
      </c>
      <c r="G212" s="336" t="s">
        <v>904</v>
      </c>
      <c r="H212" s="336" t="s">
        <v>906</v>
      </c>
      <c r="I212" s="336" t="s">
        <v>19</v>
      </c>
      <c r="J212" s="336" t="s">
        <v>891</v>
      </c>
      <c r="K212" s="32"/>
    </row>
    <row r="213" spans="1:11" ht="180" x14ac:dyDescent="0.2">
      <c r="A213" s="19" t="s">
        <v>585</v>
      </c>
      <c r="B213" s="18" t="str">
        <f>VLOOKUP($A213,Questions!$A$2:$X$333,2,0)</f>
        <v>Are your systems and applications scanned with an authenticated user account for vulnerabilities (that are remediated) prior to new releases?*</v>
      </c>
      <c r="C213" s="46" t="str">
        <f>VLOOKUP($A213,'Institution Evaluation'!$A$56:$K$346,3,0)&amp;""</f>
        <v>Yes</v>
      </c>
      <c r="D213" s="46" t="str">
        <f>VLOOKUP($A213,'Institution Evaluation'!$A$56:$K$346,4,0)&amp;""</f>
        <v>NSSE Shorts as a project does not. see IU Data Management https://datamanagement.iu.edu/index.html
See Qualtrics HECVAT 2025 for more details: https://bcsse.iu.edu/doc/bcsse/Qualtrics%20HECVAT%202025.xlsx</v>
      </c>
      <c r="E213" s="331" t="str">
        <f>VLOOKUP($A213,'Institution Evaluation'!$A$56:$K$346,5,0)&amp;""</f>
        <v>Provide a brief description.</v>
      </c>
      <c r="F213" s="189" t="str">
        <f>VLOOKUP($A213,'Institution Evaluation'!$A$56:$K$346,6,0)&amp;""</f>
        <v/>
      </c>
      <c r="G213" s="31" t="str">
        <f>VLOOKUP($A213,'Institution Evaluation'!$A$56:$K$346,7,0)&amp;""</f>
        <v>Yes</v>
      </c>
      <c r="H213" s="186" t="str">
        <f>VLOOKUP($A213,'Institution Evaluation'!$A$56:$K$346,8,0)&amp;""</f>
        <v/>
      </c>
      <c r="I213" s="46" t="str">
        <f>VLOOKUP($A213,'Institution Evaluation'!$A$56:$K$346,9,0)&amp;""</f>
        <v>Critical Importance</v>
      </c>
      <c r="J213" s="187" t="str">
        <f>VLOOKUP($A213,'Institution Evaluation'!$A$56:$K$346,10,0)&amp;""</f>
        <v/>
      </c>
      <c r="K213" s="49" t="str">
        <f>IF(VLOOKUP($A213,'Institution Evaluation'!$A$56:$K$346,10,0)=TRUE,"Yes","")</f>
        <v/>
      </c>
    </row>
    <row r="214" spans="1:11" ht="180" x14ac:dyDescent="0.2">
      <c r="A214" s="19" t="s">
        <v>589</v>
      </c>
      <c r="B214" s="18" t="str">
        <f>VLOOKUP($A214,Questions!$A$2:$X$333,2,0)</f>
        <v>Will you provide results of application and system vulnerability scans to the institution?*</v>
      </c>
      <c r="C214" s="46" t="str">
        <f>VLOOKUP($A214,'Institution Evaluation'!$A$56:$K$346,3,0)&amp;""</f>
        <v>Yes</v>
      </c>
      <c r="D214" s="46" t="str">
        <f>VLOOKUP($A214,'Institution Evaluation'!$A$56:$K$346,4,0)&amp;""</f>
        <v>NSSE Shorts as a project does not. see IU Data Management https://datamanagement.iu.edu/index.html
See Qualtrics HECVAT 2025 for more details: https://bcsse.iu.edu/doc/bcsse/Qualtrics%20HECVAT%202025.xlsx</v>
      </c>
      <c r="E214" s="331" t="str">
        <f>VLOOKUP($A214,'Institution Evaluation'!$A$56:$K$346,5,0)&amp;""</f>
        <v>Provide a reference to security scan documentation.</v>
      </c>
      <c r="F214" s="189" t="str">
        <f>VLOOKUP($A214,'Institution Evaluation'!$A$56:$K$346,6,0)&amp;""</f>
        <v/>
      </c>
      <c r="G214" s="31" t="str">
        <f>VLOOKUP($A214,'Institution Evaluation'!$A$56:$K$346,7,0)&amp;""</f>
        <v>Yes</v>
      </c>
      <c r="H214" s="186" t="str">
        <f>VLOOKUP($A214,'Institution Evaluation'!$A$56:$K$346,8,0)&amp;""</f>
        <v/>
      </c>
      <c r="I214" s="46" t="str">
        <f>VLOOKUP($A214,'Institution Evaluation'!$A$56:$K$346,9,0)&amp;""</f>
        <v>Critical Importance</v>
      </c>
      <c r="J214" s="187" t="str">
        <f>VLOOKUP($A214,'Institution Evaluation'!$A$56:$K$346,10,0)&amp;""</f>
        <v/>
      </c>
      <c r="K214" s="49" t="str">
        <f>IF(VLOOKUP($A214,'Institution Evaluation'!$A$56:$K$346,10,0)=TRUE,"Yes","")</f>
        <v/>
      </c>
    </row>
    <row r="215" spans="1:11" ht="180" x14ac:dyDescent="0.2">
      <c r="A215" s="19" t="s">
        <v>596</v>
      </c>
      <c r="B215" s="18" t="str">
        <f>VLOOKUP($A215,Questions!$A$2:$X$333,2,0)</f>
        <v>Have your systems and applications had a third-party security assessment completed in the last year?</v>
      </c>
      <c r="C215" s="46" t="str">
        <f>VLOOKUP($A215,'Institution Evaluation'!$A$56:$K$346,3,0)&amp;""</f>
        <v>Yes</v>
      </c>
      <c r="D215" s="46" t="str">
        <f>VLOOKUP($A215,'Institution Evaluation'!$A$56:$K$346,4,0)&amp;""</f>
        <v>NSSE Shorts as a project does not. see IU Data Management https://datamanagement.iu.edu/index.html
See Qualtrics HECVAT 2025 for more details: https://bcsse.iu.edu/doc/bcsse/Qualtrics%20HECVAT%202025.xlsx</v>
      </c>
      <c r="E215" s="331" t="str">
        <f>VLOOKUP($A215,'Institution Evaluation'!$A$56:$K$346,5,0)&amp;""</f>
        <v>Provide the results with this document (link or attached), if possible. State the date of the last completed third-party security assessment.</v>
      </c>
      <c r="F215" s="189" t="str">
        <f>VLOOKUP($A215,'Institution Evaluation'!$A$56:$K$346,6,0)&amp;""</f>
        <v/>
      </c>
      <c r="G215" s="31" t="str">
        <f>VLOOKUP($A215,'Institution Evaluation'!$A$56:$K$346,7,0)&amp;""</f>
        <v>Yes</v>
      </c>
      <c r="H215" s="186" t="str">
        <f>VLOOKUP($A215,'Institution Evaluation'!$A$56:$K$346,8,0)&amp;""</f>
        <v/>
      </c>
      <c r="I215" s="46" t="str">
        <f>VLOOKUP($A215,'Institution Evaluation'!$A$56:$K$346,9,0)&amp;""</f>
        <v>Standard Importance</v>
      </c>
      <c r="J215" s="187" t="str">
        <f>VLOOKUP($A215,'Institution Evaluation'!$A$56:$K$346,10,0)&amp;""</f>
        <v/>
      </c>
      <c r="K215" s="49" t="str">
        <f>IF(VLOOKUP($A215,'Institution Evaluation'!$A$56:$K$346,10,0)=TRUE,"Yes","")</f>
        <v/>
      </c>
    </row>
    <row r="216" spans="1:11" ht="180" x14ac:dyDescent="0.2">
      <c r="A216" s="19" t="s">
        <v>601</v>
      </c>
      <c r="B216" s="18" t="str">
        <f>VLOOKUP($A216,Questions!$A$2:$X$333,2,0)</f>
        <v>Are your systems and applications regularly scanned externally for vulnerabilities?</v>
      </c>
      <c r="C216" s="46" t="str">
        <f>VLOOKUP($A216,'Institution Evaluation'!$A$56:$K$346,3,0)&amp;""</f>
        <v>Yes</v>
      </c>
      <c r="D216" s="46" t="str">
        <f>VLOOKUP($A216,'Institution Evaluation'!$A$56:$K$346,4,0)&amp;""</f>
        <v>NSSE Shorts as a project does not. see IU Data Management https://datamanagement.iu.edu/index.html
See Qualtrics HECVAT 2025 for more details: https://bcsse.iu.edu/doc/bcsse/Qualtrics%20HECVAT%202025.xlsx</v>
      </c>
      <c r="E216" s="331" t="str">
        <f>VLOOKUP($A216,'Institution Evaluation'!$A$56:$K$346,5,0)&amp;""</f>
        <v>Decribe your external application vulnerability scanning strategy.</v>
      </c>
      <c r="F216" s="189" t="str">
        <f>VLOOKUP($A216,'Institution Evaluation'!$A$56:$K$346,6,0)&amp;""</f>
        <v/>
      </c>
      <c r="G216" s="31" t="str">
        <f>VLOOKUP($A216,'Institution Evaluation'!$A$56:$K$346,7,0)&amp;""</f>
        <v>Yes</v>
      </c>
      <c r="H216" s="186" t="str">
        <f>VLOOKUP($A216,'Institution Evaluation'!$A$56:$K$346,8,0)&amp;""</f>
        <v/>
      </c>
      <c r="I216" s="46" t="str">
        <f>VLOOKUP($A216,'Institution Evaluation'!$A$56:$K$346,9,0)&amp;""</f>
        <v>Minor Importance</v>
      </c>
      <c r="J216" s="187" t="str">
        <f>VLOOKUP($A216,'Institution Evaluation'!$A$56:$K$346,10,0)&amp;""</f>
        <v/>
      </c>
      <c r="K216" s="49" t="str">
        <f>IF(VLOOKUP($A216,'Institution Evaluation'!$A$56:$K$346,10,0)=TRUE,"Yes","")</f>
        <v/>
      </c>
    </row>
    <row r="217" spans="1:11" s="1" customFormat="1" ht="18" x14ac:dyDescent="0.2">
      <c r="A217" s="64" t="str">
        <f>VLOOKUP(LEFT($A218,4),'Auto Responses'!$N$4:$O$38,2,0)&amp;""</f>
        <v xml:space="preserve">HIPAA Compliance </v>
      </c>
      <c r="B217" s="23"/>
      <c r="C217" s="32"/>
      <c r="D217" s="32"/>
      <c r="E217" s="332"/>
      <c r="F217" s="133" t="s">
        <v>1066</v>
      </c>
      <c r="G217" s="336" t="s">
        <v>904</v>
      </c>
      <c r="H217" s="336" t="s">
        <v>906</v>
      </c>
      <c r="I217" s="336" t="s">
        <v>19</v>
      </c>
      <c r="J217" s="336" t="s">
        <v>891</v>
      </c>
      <c r="K217" s="32"/>
    </row>
    <row r="218" spans="1:11" ht="90" x14ac:dyDescent="0.2">
      <c r="A218" s="19" t="s">
        <v>604</v>
      </c>
      <c r="B218" s="18" t="str">
        <f>VLOOKUP($A218,Questions!$A$2:$X$333,2,0)</f>
        <v>Do your workforce members receive regular training related to the Health Insurance Portability and Accountability Act (HIPAA) Privacy and Security Rules and the HITECH Act?*</v>
      </c>
      <c r="C218" s="46" t="str">
        <f>VLOOKUP($A218,'Institution Evaluation'!$A$56:$K$346,3,0)&amp;""</f>
        <v/>
      </c>
      <c r="D218" s="46" t="str">
        <f>VLOOKUP($A218,'Institution Evaluation'!$A$56:$K$346,4,0)&amp;""</f>
        <v>This question does not apply.</v>
      </c>
      <c r="E218" s="331" t="str">
        <f>VLOOKUP($A218,'Institution Evaluation'!$A$56:$K$346,5,0)&amp;""</f>
        <v>Based on the response to REQU-05 on the "START HERE" tab, this question does not apply to this product or service.</v>
      </c>
      <c r="F218" s="189" t="str">
        <f>VLOOKUP($A218,'Institution Evaluation'!$A$56:$K$346,6,0)&amp;""</f>
        <v/>
      </c>
      <c r="G218" s="31" t="str">
        <f>VLOOKUP($A218,'Institution Evaluation'!$A$56:$K$346,7,0)&amp;""</f>
        <v>Yes</v>
      </c>
      <c r="H218" s="186" t="str">
        <f>VLOOKUP($A218,'Institution Evaluation'!$A$56:$K$346,8,0)&amp;""</f>
        <v/>
      </c>
      <c r="I218" s="46" t="str">
        <f>VLOOKUP($A218,'Institution Evaluation'!$A$56:$K$346,9,0)&amp;""</f>
        <v>Critical Importance</v>
      </c>
      <c r="J218" s="187" t="str">
        <f>VLOOKUP($A218,'Institution Evaluation'!$A$56:$K$346,10,0)&amp;""</f>
        <v/>
      </c>
      <c r="K218" s="49" t="str">
        <f>IF(VLOOKUP($A218,'Institution Evaluation'!$A$56:$K$346,10,0)=TRUE,"Yes","")</f>
        <v/>
      </c>
    </row>
    <row r="219" spans="1:11" ht="90" x14ac:dyDescent="0.2">
      <c r="A219" s="19" t="s">
        <v>609</v>
      </c>
      <c r="B219" s="18" t="str">
        <f>VLOOKUP($A219,Questions!$A$2:$X$333,2,0)</f>
        <v>Have you identified areas of risk?*</v>
      </c>
      <c r="C219" s="46" t="str">
        <f>VLOOKUP($A219,'Institution Evaluation'!$A$56:$K$346,3,0)&amp;""</f>
        <v/>
      </c>
      <c r="D219" s="46" t="str">
        <f>VLOOKUP($A219,'Institution Evaluation'!$A$56:$K$346,4,0)&amp;""</f>
        <v>This question does not apply.</v>
      </c>
      <c r="E219" s="331" t="str">
        <f>VLOOKUP($A219,'Institution Evaluation'!$A$56:$K$346,5,0)&amp;""</f>
        <v>Based on the response to REQU-05 on the "START HERE" tab, this question does not apply to this product or service.</v>
      </c>
      <c r="F219" s="189" t="str">
        <f>VLOOKUP($A219,'Institution Evaluation'!$A$56:$K$346,6,0)&amp;""</f>
        <v/>
      </c>
      <c r="G219" s="31" t="str">
        <f>VLOOKUP($A219,'Institution Evaluation'!$A$56:$K$346,7,0)&amp;""</f>
        <v>Yes</v>
      </c>
      <c r="H219" s="186" t="str">
        <f>VLOOKUP($A219,'Institution Evaluation'!$A$56:$K$346,8,0)&amp;""</f>
        <v/>
      </c>
      <c r="I219" s="46" t="str">
        <f>VLOOKUP($A219,'Institution Evaluation'!$A$56:$K$346,9,0)&amp;""</f>
        <v>Critical Importance</v>
      </c>
      <c r="J219" s="187" t="str">
        <f>VLOOKUP($A219,'Institution Evaluation'!$A$56:$K$346,10,0)&amp;""</f>
        <v/>
      </c>
      <c r="K219" s="49" t="str">
        <f>IF(VLOOKUP($A219,'Institution Evaluation'!$A$56:$K$346,10,0)=TRUE,"Yes","")</f>
        <v/>
      </c>
    </row>
    <row r="220" spans="1:11" ht="90" x14ac:dyDescent="0.2">
      <c r="A220" s="19" t="s">
        <v>611</v>
      </c>
      <c r="B220" s="18" t="str">
        <f>VLOOKUP($A220,Questions!$A$2:$X$333,2,0)</f>
        <v>Have the relevant policies/plans been tested?*</v>
      </c>
      <c r="C220" s="46" t="str">
        <f>VLOOKUP($A220,'Institution Evaluation'!$A$56:$K$346,3,0)&amp;""</f>
        <v/>
      </c>
      <c r="D220" s="46" t="str">
        <f>VLOOKUP($A220,'Institution Evaluation'!$A$56:$K$346,4,0)&amp;""</f>
        <v>This question does not apply.</v>
      </c>
      <c r="E220" s="331" t="str">
        <f>VLOOKUP($A220,'Institution Evaluation'!$A$56:$K$346,5,0)&amp;""</f>
        <v>Based on the response to REQU-05 on the "START HERE" tab, this question does not apply to this product or service.</v>
      </c>
      <c r="F220" s="189" t="str">
        <f>VLOOKUP($A220,'Institution Evaluation'!$A$56:$K$346,6,0)&amp;""</f>
        <v/>
      </c>
      <c r="G220" s="31" t="str">
        <f>VLOOKUP($A220,'Institution Evaluation'!$A$56:$K$346,7,0)&amp;""</f>
        <v>Yes</v>
      </c>
      <c r="H220" s="186" t="str">
        <f>VLOOKUP($A220,'Institution Evaluation'!$A$56:$K$346,8,0)&amp;""</f>
        <v/>
      </c>
      <c r="I220" s="46" t="str">
        <f>VLOOKUP($A220,'Institution Evaluation'!$A$56:$K$346,9,0)&amp;""</f>
        <v>Critical Importance</v>
      </c>
      <c r="J220" s="187" t="str">
        <f>VLOOKUP($A220,'Institution Evaluation'!$A$56:$K$346,10,0)&amp;""</f>
        <v/>
      </c>
      <c r="K220" s="49" t="str">
        <f>IF(VLOOKUP($A220,'Institution Evaluation'!$A$56:$K$346,10,0)=TRUE,"Yes","")</f>
        <v/>
      </c>
    </row>
    <row r="221" spans="1:11" ht="90" x14ac:dyDescent="0.2">
      <c r="A221" s="19" t="s">
        <v>613</v>
      </c>
      <c r="B221" s="18" t="str">
        <f>VLOOKUP($A221,Questions!$A$2:$X$333,2,0)</f>
        <v>Have you entered into a Business Associate Agreements with all subcontractors who may have access to protected health information (PHI)?*</v>
      </c>
      <c r="C221" s="46" t="str">
        <f>VLOOKUP($A221,'Institution Evaluation'!$A$56:$K$346,3,0)&amp;""</f>
        <v/>
      </c>
      <c r="D221" s="46" t="str">
        <f>VLOOKUP($A221,'Institution Evaluation'!$A$56:$K$346,4,0)&amp;""</f>
        <v>This question does not apply.</v>
      </c>
      <c r="E221" s="331" t="str">
        <f>VLOOKUP($A221,'Institution Evaluation'!$A$56:$K$346,5,0)&amp;""</f>
        <v>Based on the response to REQU-05 on the "START HERE" tab, this question does not apply to this product or service.</v>
      </c>
      <c r="F221" s="189" t="str">
        <f>VLOOKUP($A221,'Institution Evaluation'!$A$56:$K$346,6,0)&amp;""</f>
        <v/>
      </c>
      <c r="G221" s="31" t="str">
        <f>VLOOKUP($A221,'Institution Evaluation'!$A$56:$K$346,7,0)&amp;""</f>
        <v>Yes</v>
      </c>
      <c r="H221" s="186" t="str">
        <f>VLOOKUP($A221,'Institution Evaluation'!$A$56:$K$346,8,0)&amp;""</f>
        <v/>
      </c>
      <c r="I221" s="46" t="str">
        <f>VLOOKUP($A221,'Institution Evaluation'!$A$56:$K$346,9,0)&amp;""</f>
        <v>Critical Importance</v>
      </c>
      <c r="J221" s="187" t="str">
        <f>VLOOKUP($A221,'Institution Evaluation'!$A$56:$K$346,10,0)&amp;""</f>
        <v/>
      </c>
      <c r="K221" s="49" t="str">
        <f>IF(VLOOKUP($A221,'Institution Evaluation'!$A$56:$K$346,10,0)=TRUE,"Yes","")</f>
        <v/>
      </c>
    </row>
    <row r="222" spans="1:11" ht="90" x14ac:dyDescent="0.2">
      <c r="A222" s="19" t="s">
        <v>615</v>
      </c>
      <c r="B222" s="18" t="str">
        <f>VLOOKUP($A222,Questions!$A$2:$X$333,2,0)</f>
        <v>Do you monitor or receive information regarding changes in HIPAA regulations?</v>
      </c>
      <c r="C222" s="46" t="str">
        <f>VLOOKUP($A222,'Institution Evaluation'!$A$56:$K$346,3,0)&amp;""</f>
        <v/>
      </c>
      <c r="D222" s="46" t="str">
        <f>VLOOKUP($A222,'Institution Evaluation'!$A$56:$K$346,4,0)&amp;""</f>
        <v>This question does not apply.</v>
      </c>
      <c r="E222" s="331" t="str">
        <f>VLOOKUP($A222,'Institution Evaluation'!$A$56:$K$346,5,0)&amp;""</f>
        <v>Based on the response to REQU-05 on the "START HERE" tab, this question does not apply to this product or service.</v>
      </c>
      <c r="F222" s="189" t="str">
        <f>VLOOKUP($A222,'Institution Evaluation'!$A$56:$K$346,6,0)&amp;""</f>
        <v/>
      </c>
      <c r="G222" s="31" t="str">
        <f>VLOOKUP($A222,'Institution Evaluation'!$A$56:$K$346,7,0)&amp;""</f>
        <v>Yes</v>
      </c>
      <c r="H222" s="186" t="str">
        <f>VLOOKUP($A222,'Institution Evaluation'!$A$56:$K$346,8,0)&amp;""</f>
        <v/>
      </c>
      <c r="I222" s="46" t="str">
        <f>VLOOKUP($A222,'Institution Evaluation'!$A$56:$K$346,9,0)&amp;""</f>
        <v>Standard Importance</v>
      </c>
      <c r="J222" s="187" t="str">
        <f>VLOOKUP($A222,'Institution Evaluation'!$A$56:$K$346,10,0)&amp;""</f>
        <v/>
      </c>
      <c r="K222" s="49" t="str">
        <f>IF(VLOOKUP($A222,'Institution Evaluation'!$A$56:$K$346,10,0)=TRUE,"Yes","")</f>
        <v/>
      </c>
    </row>
    <row r="223" spans="1:11" ht="90" x14ac:dyDescent="0.2">
      <c r="A223" s="19" t="s">
        <v>616</v>
      </c>
      <c r="B223" s="18" t="str">
        <f>VLOOKUP($A223,Questions!$A$2:$X$333,2,0)</f>
        <v>Has your organization designated HIPAA Privacy and Security officers as required by the rules?</v>
      </c>
      <c r="C223" s="46" t="str">
        <f>VLOOKUP($A223,'Institution Evaluation'!$A$56:$K$346,3,0)&amp;""</f>
        <v/>
      </c>
      <c r="D223" s="46" t="str">
        <f>VLOOKUP($A223,'Institution Evaluation'!$A$56:$K$346,4,0)&amp;""</f>
        <v>This question does not apply.</v>
      </c>
      <c r="E223" s="331" t="str">
        <f>VLOOKUP($A223,'Institution Evaluation'!$A$56:$K$346,5,0)&amp;""</f>
        <v>Based on the response to REQU-05 on the "START HERE" tab, this question does not apply to this product or service.</v>
      </c>
      <c r="F223" s="189" t="str">
        <f>VLOOKUP($A223,'Institution Evaluation'!$A$56:$K$346,6,0)&amp;""</f>
        <v/>
      </c>
      <c r="G223" s="31" t="str">
        <f>VLOOKUP($A223,'Institution Evaluation'!$A$56:$K$346,7,0)&amp;""</f>
        <v>Yes</v>
      </c>
      <c r="H223" s="186" t="str">
        <f>VLOOKUP($A223,'Institution Evaluation'!$A$56:$K$346,8,0)&amp;""</f>
        <v/>
      </c>
      <c r="I223" s="46" t="str">
        <f>VLOOKUP($A223,'Institution Evaluation'!$A$56:$K$346,9,0)&amp;""</f>
        <v>Standard Importance</v>
      </c>
      <c r="J223" s="187" t="str">
        <f>VLOOKUP($A223,'Institution Evaluation'!$A$56:$K$346,10,0)&amp;""</f>
        <v/>
      </c>
      <c r="K223" s="49" t="str">
        <f>IF(VLOOKUP($A223,'Institution Evaluation'!$A$56:$K$346,10,0)=TRUE,"Yes","")</f>
        <v/>
      </c>
    </row>
    <row r="224" spans="1:11" ht="90" x14ac:dyDescent="0.2">
      <c r="A224" s="19" t="s">
        <v>617</v>
      </c>
      <c r="B224" s="18" t="str">
        <f>VLOOKUP($A224,Questions!$A$2:$X$333,2,0)</f>
        <v>Do you comply with the requirements of the Health Information Technology for Economic and Clinical Health Act (HITECH)?</v>
      </c>
      <c r="C224" s="46" t="str">
        <f>VLOOKUP($A224,'Institution Evaluation'!$A$56:$K$346,3,0)&amp;""</f>
        <v/>
      </c>
      <c r="D224" s="46" t="str">
        <f>VLOOKUP($A224,'Institution Evaluation'!$A$56:$K$346,4,0)&amp;""</f>
        <v>This question does not apply.</v>
      </c>
      <c r="E224" s="331" t="str">
        <f>VLOOKUP($A224,'Institution Evaluation'!$A$56:$K$346,5,0)&amp;""</f>
        <v>Based on the response to REQU-05 on the "START HERE" tab, this question does not apply to this product or service.</v>
      </c>
      <c r="F224" s="189" t="str">
        <f>VLOOKUP($A224,'Institution Evaluation'!$A$56:$K$346,6,0)&amp;""</f>
        <v/>
      </c>
      <c r="G224" s="31" t="str">
        <f>VLOOKUP($A224,'Institution Evaluation'!$A$56:$K$346,7,0)&amp;""</f>
        <v>Yes</v>
      </c>
      <c r="H224" s="186" t="str">
        <f>VLOOKUP($A224,'Institution Evaluation'!$A$56:$K$346,8,0)&amp;""</f>
        <v/>
      </c>
      <c r="I224" s="46" t="str">
        <f>VLOOKUP($A224,'Institution Evaluation'!$A$56:$K$346,9,0)&amp;""</f>
        <v>Standard Importance</v>
      </c>
      <c r="J224" s="187" t="str">
        <f>VLOOKUP($A224,'Institution Evaluation'!$A$56:$K$346,10,0)&amp;""</f>
        <v/>
      </c>
      <c r="K224" s="49" t="str">
        <f>IF(VLOOKUP($A224,'Institution Evaluation'!$A$56:$K$346,10,0)=TRUE,"Yes","")</f>
        <v/>
      </c>
    </row>
    <row r="225" spans="1:11" ht="90" x14ac:dyDescent="0.2">
      <c r="A225" s="19" t="s">
        <v>619</v>
      </c>
      <c r="B225" s="18" t="str">
        <f>VLOOKUP($A225,Questions!$A$2:$X$333,2,0)</f>
        <v>Have you conducted a risk analysis as required under the HIPAA Security Rule?</v>
      </c>
      <c r="C225" s="46" t="str">
        <f>VLOOKUP($A225,'Institution Evaluation'!$A$56:$K$346,3,0)&amp;""</f>
        <v/>
      </c>
      <c r="D225" s="46" t="str">
        <f>VLOOKUP($A225,'Institution Evaluation'!$A$56:$K$346,4,0)&amp;""</f>
        <v>This question does not apply.</v>
      </c>
      <c r="E225" s="331" t="str">
        <f>VLOOKUP($A225,'Institution Evaluation'!$A$56:$K$346,5,0)&amp;""</f>
        <v>Based on the response to REQU-05 on the "START HERE" tab, this question does not apply to this product or service.</v>
      </c>
      <c r="F225" s="189" t="str">
        <f>VLOOKUP($A225,'Institution Evaluation'!$A$56:$K$346,6,0)&amp;""</f>
        <v/>
      </c>
      <c r="G225" s="31" t="str">
        <f>VLOOKUP($A225,'Institution Evaluation'!$A$56:$K$346,7,0)&amp;""</f>
        <v>Yes</v>
      </c>
      <c r="H225" s="186" t="str">
        <f>VLOOKUP($A225,'Institution Evaluation'!$A$56:$K$346,8,0)&amp;""</f>
        <v/>
      </c>
      <c r="I225" s="46" t="str">
        <f>VLOOKUP($A225,'Institution Evaluation'!$A$56:$K$346,9,0)&amp;""</f>
        <v>Standard Importance</v>
      </c>
      <c r="J225" s="187" t="str">
        <f>VLOOKUP($A225,'Institution Evaluation'!$A$56:$K$346,10,0)&amp;""</f>
        <v/>
      </c>
      <c r="K225" s="49" t="str">
        <f>IF(VLOOKUP($A225,'Institution Evaluation'!$A$56:$K$346,10,0)=TRUE,"Yes","")</f>
        <v/>
      </c>
    </row>
    <row r="226" spans="1:11" ht="90" x14ac:dyDescent="0.2">
      <c r="A226" s="19" t="s">
        <v>621</v>
      </c>
      <c r="B226" s="18" t="str">
        <f>VLOOKUP($A226,Questions!$A$2:$X$333,2,0)</f>
        <v>Have you taken actions to mitigate the identified risks?</v>
      </c>
      <c r="C226" s="46" t="str">
        <f>VLOOKUP($A226,'Institution Evaluation'!$A$56:$K$346,3,0)&amp;""</f>
        <v/>
      </c>
      <c r="D226" s="46" t="str">
        <f>VLOOKUP($A226,'Institution Evaluation'!$A$56:$K$346,4,0)&amp;""</f>
        <v>This question does not apply.</v>
      </c>
      <c r="E226" s="331" t="str">
        <f>VLOOKUP($A226,'Institution Evaluation'!$A$56:$K$346,5,0)&amp;""</f>
        <v>Based on the response to REQU-05 on the "START HERE" tab, this question does not apply to this product or service.</v>
      </c>
      <c r="F226" s="189" t="str">
        <f>VLOOKUP($A226,'Institution Evaluation'!$A$56:$K$346,6,0)&amp;""</f>
        <v/>
      </c>
      <c r="G226" s="31" t="str">
        <f>VLOOKUP($A226,'Institution Evaluation'!$A$56:$K$346,7,0)&amp;""</f>
        <v>Yes</v>
      </c>
      <c r="H226" s="186" t="str">
        <f>VLOOKUP($A226,'Institution Evaluation'!$A$56:$K$346,8,0)&amp;""</f>
        <v/>
      </c>
      <c r="I226" s="46" t="str">
        <f>VLOOKUP($A226,'Institution Evaluation'!$A$56:$K$346,9,0)&amp;""</f>
        <v>Standard Importance</v>
      </c>
      <c r="J226" s="187" t="str">
        <f>VLOOKUP($A226,'Institution Evaluation'!$A$56:$K$346,10,0)&amp;""</f>
        <v/>
      </c>
      <c r="K226" s="49" t="str">
        <f>IF(VLOOKUP($A226,'Institution Evaluation'!$A$56:$K$346,10,0)=TRUE,"Yes","")</f>
        <v/>
      </c>
    </row>
    <row r="227" spans="1:11" ht="90" x14ac:dyDescent="0.2">
      <c r="A227" s="19" t="s">
        <v>623</v>
      </c>
      <c r="B227" s="18" t="str">
        <f>VLOOKUP($A227,Questions!$A$2:$X$333,2,0)</f>
        <v>Does your application require user and system administrator password changes at a frequency no greater than 90 days?</v>
      </c>
      <c r="C227" s="46" t="str">
        <f>VLOOKUP($A227,'Institution Evaluation'!$A$56:$K$346,3,0)&amp;""</f>
        <v/>
      </c>
      <c r="D227" s="46" t="str">
        <f>VLOOKUP($A227,'Institution Evaluation'!$A$56:$K$346,4,0)&amp;""</f>
        <v>This question does not apply.</v>
      </c>
      <c r="E227" s="331" t="str">
        <f>VLOOKUP($A227,'Institution Evaluation'!$A$56:$K$346,5,0)&amp;""</f>
        <v>Based on the response to REQU-05 on the "START HERE" tab, this question does not apply to this product or service.</v>
      </c>
      <c r="F227" s="189" t="str">
        <f>VLOOKUP($A227,'Institution Evaluation'!$A$56:$K$346,6,0)&amp;""</f>
        <v/>
      </c>
      <c r="G227" s="31" t="str">
        <f>VLOOKUP($A227,'Institution Evaluation'!$A$56:$K$346,7,0)&amp;""</f>
        <v>Yes</v>
      </c>
      <c r="H227" s="186" t="str">
        <f>VLOOKUP($A227,'Institution Evaluation'!$A$56:$K$346,8,0)&amp;""</f>
        <v/>
      </c>
      <c r="I227" s="46" t="str">
        <f>VLOOKUP($A227,'Institution Evaluation'!$A$56:$K$346,9,0)&amp;""</f>
        <v>Standard Importance</v>
      </c>
      <c r="J227" s="187" t="str">
        <f>VLOOKUP($A227,'Institution Evaluation'!$A$56:$K$346,10,0)&amp;""</f>
        <v/>
      </c>
      <c r="K227" s="49" t="str">
        <f>IF(VLOOKUP($A227,'Institution Evaluation'!$A$56:$K$346,10,0)=TRUE,"Yes","")</f>
        <v/>
      </c>
    </row>
    <row r="228" spans="1:11" ht="90" x14ac:dyDescent="0.2">
      <c r="A228" s="19" t="s">
        <v>625</v>
      </c>
      <c r="B228" s="18" t="str">
        <f>VLOOKUP($A228,Questions!$A$2:$X$333,2,0)</f>
        <v>Does your application require users to set their own password after an administrator reset or on first use of the account?</v>
      </c>
      <c r="C228" s="46" t="str">
        <f>VLOOKUP($A228,'Institution Evaluation'!$A$56:$K$346,3,0)&amp;""</f>
        <v/>
      </c>
      <c r="D228" s="46" t="str">
        <f>VLOOKUP($A228,'Institution Evaluation'!$A$56:$K$346,4,0)&amp;""</f>
        <v>This question does not apply.</v>
      </c>
      <c r="E228" s="331" t="str">
        <f>VLOOKUP($A228,'Institution Evaluation'!$A$56:$K$346,5,0)&amp;""</f>
        <v>Based on the response to REQU-05 on the "START HERE" tab, this question does not apply to this product or service.</v>
      </c>
      <c r="F228" s="189" t="str">
        <f>VLOOKUP($A228,'Institution Evaluation'!$A$56:$K$346,6,0)&amp;""</f>
        <v/>
      </c>
      <c r="G228" s="31" t="str">
        <f>VLOOKUP($A228,'Institution Evaluation'!$A$56:$K$346,7,0)&amp;""</f>
        <v>Yes</v>
      </c>
      <c r="H228" s="186" t="str">
        <f>VLOOKUP($A228,'Institution Evaluation'!$A$56:$K$346,8,0)&amp;""</f>
        <v/>
      </c>
      <c r="I228" s="46" t="str">
        <f>VLOOKUP($A228,'Institution Evaluation'!$A$56:$K$346,9,0)&amp;""</f>
        <v>Standard Importance</v>
      </c>
      <c r="J228" s="187" t="str">
        <f>VLOOKUP($A228,'Institution Evaluation'!$A$56:$K$346,10,0)&amp;""</f>
        <v/>
      </c>
      <c r="K228" s="49" t="str">
        <f>IF(VLOOKUP($A228,'Institution Evaluation'!$A$56:$K$346,10,0)=TRUE,"Yes","")</f>
        <v/>
      </c>
    </row>
    <row r="229" spans="1:11" ht="90" x14ac:dyDescent="0.2">
      <c r="A229" s="19" t="s">
        <v>627</v>
      </c>
      <c r="B229" s="18" t="str">
        <f>VLOOKUP($A229,Questions!$A$2:$X$333,2,0)</f>
        <v>Does your application lock out an account after a number of failed login attempts?</v>
      </c>
      <c r="C229" s="46" t="str">
        <f>VLOOKUP($A229,'Institution Evaluation'!$A$56:$K$346,3,0)&amp;""</f>
        <v/>
      </c>
      <c r="D229" s="46" t="str">
        <f>VLOOKUP($A229,'Institution Evaluation'!$A$56:$K$346,4,0)&amp;""</f>
        <v>This question does not apply.</v>
      </c>
      <c r="E229" s="331" t="str">
        <f>VLOOKUP($A229,'Institution Evaluation'!$A$56:$K$346,5,0)&amp;""</f>
        <v>Based on the response to REQU-05 on the "START HERE" tab, this question does not apply to this product or service.</v>
      </c>
      <c r="F229" s="189" t="str">
        <f>VLOOKUP($A229,'Institution Evaluation'!$A$56:$K$346,6,0)&amp;""</f>
        <v/>
      </c>
      <c r="G229" s="31" t="str">
        <f>VLOOKUP($A229,'Institution Evaluation'!$A$56:$K$346,7,0)&amp;""</f>
        <v>Yes</v>
      </c>
      <c r="H229" s="186" t="str">
        <f>VLOOKUP($A229,'Institution Evaluation'!$A$56:$K$346,8,0)&amp;""</f>
        <v/>
      </c>
      <c r="I229" s="46" t="str">
        <f>VLOOKUP($A229,'Institution Evaluation'!$A$56:$K$346,9,0)&amp;""</f>
        <v>Standard Importance</v>
      </c>
      <c r="J229" s="187" t="str">
        <f>VLOOKUP($A229,'Institution Evaluation'!$A$56:$K$346,10,0)&amp;""</f>
        <v/>
      </c>
      <c r="K229" s="49" t="str">
        <f>IF(VLOOKUP($A229,'Institution Evaluation'!$A$56:$K$346,10,0)=TRUE,"Yes","")</f>
        <v/>
      </c>
    </row>
    <row r="230" spans="1:11" ht="90" x14ac:dyDescent="0.2">
      <c r="A230" s="19" t="s">
        <v>629</v>
      </c>
      <c r="B230" s="18" t="str">
        <f>VLOOKUP($A230,Questions!$A$2:$X$333,2,0)</f>
        <v>Does your application automatically lock or log-out an account after a period of inactivity?</v>
      </c>
      <c r="C230" s="46" t="str">
        <f>VLOOKUP($A230,'Institution Evaluation'!$A$56:$K$346,3,0)&amp;""</f>
        <v/>
      </c>
      <c r="D230" s="46" t="str">
        <f>VLOOKUP($A230,'Institution Evaluation'!$A$56:$K$346,4,0)&amp;""</f>
        <v>This question does not apply.</v>
      </c>
      <c r="E230" s="331" t="str">
        <f>VLOOKUP($A230,'Institution Evaluation'!$A$56:$K$346,5,0)&amp;""</f>
        <v>Based on the response to REQU-05 on the "START HERE" tab, this question does not apply to this product or service.</v>
      </c>
      <c r="F230" s="189" t="str">
        <f>VLOOKUP($A230,'Institution Evaluation'!$A$56:$K$346,6,0)&amp;""</f>
        <v/>
      </c>
      <c r="G230" s="31" t="str">
        <f>VLOOKUP($A230,'Institution Evaluation'!$A$56:$K$346,7,0)&amp;""</f>
        <v>Yes</v>
      </c>
      <c r="H230" s="186" t="str">
        <f>VLOOKUP($A230,'Institution Evaluation'!$A$56:$K$346,8,0)&amp;""</f>
        <v/>
      </c>
      <c r="I230" s="46" t="str">
        <f>VLOOKUP($A230,'Institution Evaluation'!$A$56:$K$346,9,0)&amp;""</f>
        <v>Standard Importance</v>
      </c>
      <c r="J230" s="187" t="str">
        <f>VLOOKUP($A230,'Institution Evaluation'!$A$56:$K$346,10,0)&amp;""</f>
        <v/>
      </c>
      <c r="K230" s="49" t="str">
        <f>IF(VLOOKUP($A230,'Institution Evaluation'!$A$56:$K$346,10,0)=TRUE,"Yes","")</f>
        <v/>
      </c>
    </row>
    <row r="231" spans="1:11" ht="90" x14ac:dyDescent="0.2">
      <c r="A231" s="19" t="s">
        <v>631</v>
      </c>
      <c r="B231" s="18" t="str">
        <f>VLOOKUP($A231,Questions!$A$2:$X$333,2,0)</f>
        <v>Are passwords visible in plain text, whether when stored or entered, including service level accounts (i.e., database accounts, etc.)?</v>
      </c>
      <c r="C231" s="46" t="str">
        <f>VLOOKUP($A231,'Institution Evaluation'!$A$56:$K$346,3,0)&amp;""</f>
        <v/>
      </c>
      <c r="D231" s="46" t="str">
        <f>VLOOKUP($A231,'Institution Evaluation'!$A$56:$K$346,4,0)&amp;""</f>
        <v>This question does not apply.</v>
      </c>
      <c r="E231" s="331" t="str">
        <f>VLOOKUP($A231,'Institution Evaluation'!$A$56:$K$346,5,0)&amp;""</f>
        <v>Based on the response to REQU-05 on the "START HERE" tab, this question does not apply to this product or service.</v>
      </c>
      <c r="F231" s="189" t="str">
        <f>VLOOKUP($A231,'Institution Evaluation'!$A$56:$K$346,6,0)&amp;""</f>
        <v/>
      </c>
      <c r="G231" s="31" t="str">
        <f>VLOOKUP($A231,'Institution Evaluation'!$A$56:$K$346,7,0)&amp;""</f>
        <v>No</v>
      </c>
      <c r="H231" s="186" t="str">
        <f>VLOOKUP($A231,'Institution Evaluation'!$A$56:$K$346,8,0)&amp;""</f>
        <v/>
      </c>
      <c r="I231" s="46" t="str">
        <f>VLOOKUP($A231,'Institution Evaluation'!$A$56:$K$346,9,0)&amp;""</f>
        <v>Standard Importance</v>
      </c>
      <c r="J231" s="187" t="str">
        <f>VLOOKUP($A231,'Institution Evaluation'!$A$56:$K$346,10,0)&amp;""</f>
        <v/>
      </c>
      <c r="K231" s="49" t="str">
        <f>IF(VLOOKUP($A231,'Institution Evaluation'!$A$56:$K$346,10,0)=TRUE,"Yes","")</f>
        <v/>
      </c>
    </row>
    <row r="232" spans="1:11" ht="90" x14ac:dyDescent="0.2">
      <c r="A232" s="19" t="s">
        <v>633</v>
      </c>
      <c r="B232" s="18" t="str">
        <f>VLOOKUP($A232,Questions!$A$2:$X$333,2,0)</f>
        <v>If the application is institution-hosted, can all service level and administrative account passwords be changed by the institution?</v>
      </c>
      <c r="C232" s="46" t="str">
        <f>VLOOKUP($A232,'Institution Evaluation'!$A$56:$K$346,3,0)&amp;""</f>
        <v/>
      </c>
      <c r="D232" s="46" t="str">
        <f>VLOOKUP($A232,'Institution Evaluation'!$A$56:$K$346,4,0)&amp;""</f>
        <v>This question does not apply.</v>
      </c>
      <c r="E232" s="331" t="str">
        <f>VLOOKUP($A232,'Institution Evaluation'!$A$56:$K$346,5,0)&amp;""</f>
        <v>Based on the response to REQU-05 on the "START HERE" tab, this question does not apply to this product or service.</v>
      </c>
      <c r="F232" s="189" t="str">
        <f>VLOOKUP($A232,'Institution Evaluation'!$A$56:$K$346,6,0)&amp;""</f>
        <v/>
      </c>
      <c r="G232" s="31" t="str">
        <f>VLOOKUP($A232,'Institution Evaluation'!$A$56:$K$346,7,0)&amp;""</f>
        <v>Yes</v>
      </c>
      <c r="H232" s="186" t="str">
        <f>VLOOKUP($A232,'Institution Evaluation'!$A$56:$K$346,8,0)&amp;""</f>
        <v/>
      </c>
      <c r="I232" s="46" t="str">
        <f>VLOOKUP($A232,'Institution Evaluation'!$A$56:$K$346,9,0)&amp;""</f>
        <v>Standard Importance</v>
      </c>
      <c r="J232" s="187" t="str">
        <f>VLOOKUP($A232,'Institution Evaluation'!$A$56:$K$346,10,0)&amp;""</f>
        <v/>
      </c>
      <c r="K232" s="49" t="str">
        <f>IF(VLOOKUP($A232,'Institution Evaluation'!$A$56:$K$346,10,0)=TRUE,"Yes","")</f>
        <v/>
      </c>
    </row>
    <row r="233" spans="1:11" ht="90" x14ac:dyDescent="0.2">
      <c r="A233" s="19" t="s">
        <v>635</v>
      </c>
      <c r="B233" s="18" t="str">
        <f>VLOOKUP($A233,Questions!$A$2:$X$333,2,0)</f>
        <v>Does your application provide the ability to define user access levels?</v>
      </c>
      <c r="C233" s="46" t="str">
        <f>VLOOKUP($A233,'Institution Evaluation'!$A$56:$K$346,3,0)&amp;""</f>
        <v/>
      </c>
      <c r="D233" s="46" t="str">
        <f>VLOOKUP($A233,'Institution Evaluation'!$A$56:$K$346,4,0)&amp;""</f>
        <v>This question does not apply.</v>
      </c>
      <c r="E233" s="331" t="str">
        <f>VLOOKUP($A233,'Institution Evaluation'!$A$56:$K$346,5,0)&amp;""</f>
        <v>Based on the response to REQU-05 on the "START HERE" tab, this question does not apply to this product or service.</v>
      </c>
      <c r="F233" s="189" t="str">
        <f>VLOOKUP($A233,'Institution Evaluation'!$A$56:$K$346,6,0)&amp;""</f>
        <v/>
      </c>
      <c r="G233" s="31" t="str">
        <f>VLOOKUP($A233,'Institution Evaluation'!$A$56:$K$346,7,0)&amp;""</f>
        <v>Yes</v>
      </c>
      <c r="H233" s="186" t="str">
        <f>VLOOKUP($A233,'Institution Evaluation'!$A$56:$K$346,8,0)&amp;""</f>
        <v/>
      </c>
      <c r="I233" s="46" t="str">
        <f>VLOOKUP($A233,'Institution Evaluation'!$A$56:$K$346,9,0)&amp;""</f>
        <v>Standard Importance</v>
      </c>
      <c r="J233" s="187" t="str">
        <f>VLOOKUP($A233,'Institution Evaluation'!$A$56:$K$346,10,0)&amp;""</f>
        <v/>
      </c>
      <c r="K233" s="49" t="str">
        <f>IF(VLOOKUP($A233,'Institution Evaluation'!$A$56:$K$346,10,0)=TRUE,"Yes","")</f>
        <v/>
      </c>
    </row>
    <row r="234" spans="1:11" ht="90" x14ac:dyDescent="0.2">
      <c r="A234" s="19" t="s">
        <v>637</v>
      </c>
      <c r="B234" s="18" t="str">
        <f>VLOOKUP($A234,Questions!$A$2:$X$333,2,0)</f>
        <v>Does your application support varying levels of access to administrative tasks defined individually per user?</v>
      </c>
      <c r="C234" s="46" t="str">
        <f>VLOOKUP($A234,'Institution Evaluation'!$A$56:$K$346,3,0)&amp;""</f>
        <v/>
      </c>
      <c r="D234" s="46" t="str">
        <f>VLOOKUP($A234,'Institution Evaluation'!$A$56:$K$346,4,0)&amp;""</f>
        <v>This question does not apply.</v>
      </c>
      <c r="E234" s="331" t="str">
        <f>VLOOKUP($A234,'Institution Evaluation'!$A$56:$K$346,5,0)&amp;""</f>
        <v>Based on the response to REQU-05 on the "START HERE" tab, this question does not apply to this product or service.</v>
      </c>
      <c r="F234" s="189" t="str">
        <f>VLOOKUP($A234,'Institution Evaluation'!$A$56:$K$346,6,0)&amp;""</f>
        <v/>
      </c>
      <c r="G234" s="31" t="str">
        <f>VLOOKUP($A234,'Institution Evaluation'!$A$56:$K$346,7,0)&amp;""</f>
        <v>Yes</v>
      </c>
      <c r="H234" s="186" t="str">
        <f>VLOOKUP($A234,'Institution Evaluation'!$A$56:$K$346,8,0)&amp;""</f>
        <v/>
      </c>
      <c r="I234" s="46" t="str">
        <f>VLOOKUP($A234,'Institution Evaluation'!$A$56:$K$346,9,0)&amp;""</f>
        <v>Standard Importance</v>
      </c>
      <c r="J234" s="187" t="str">
        <f>VLOOKUP($A234,'Institution Evaluation'!$A$56:$K$346,10,0)&amp;""</f>
        <v/>
      </c>
      <c r="K234" s="49" t="str">
        <f>IF(VLOOKUP($A234,'Institution Evaluation'!$A$56:$K$346,10,0)=TRUE,"Yes","")</f>
        <v/>
      </c>
    </row>
    <row r="235" spans="1:11" ht="90" x14ac:dyDescent="0.2">
      <c r="A235" s="19" t="s">
        <v>639</v>
      </c>
      <c r="B235" s="18" t="str">
        <f>VLOOKUP($A235,Questions!$A$2:$X$333,2,0)</f>
        <v>Does your application support varying levels of access to records based on user ID?</v>
      </c>
      <c r="C235" s="46" t="str">
        <f>VLOOKUP($A235,'Institution Evaluation'!$A$56:$K$346,3,0)&amp;""</f>
        <v/>
      </c>
      <c r="D235" s="46" t="str">
        <f>VLOOKUP($A235,'Institution Evaluation'!$A$56:$K$346,4,0)&amp;""</f>
        <v>This question does not apply.</v>
      </c>
      <c r="E235" s="331" t="str">
        <f>VLOOKUP($A235,'Institution Evaluation'!$A$56:$K$346,5,0)&amp;""</f>
        <v>Based on the response to REQU-05 on the "START HERE" tab, this question does not apply to this product or service.</v>
      </c>
      <c r="F235" s="189" t="str">
        <f>VLOOKUP($A235,'Institution Evaluation'!$A$56:$K$346,6,0)&amp;""</f>
        <v/>
      </c>
      <c r="G235" s="31" t="str">
        <f>VLOOKUP($A235,'Institution Evaluation'!$A$56:$K$346,7,0)&amp;""</f>
        <v>No</v>
      </c>
      <c r="H235" s="186" t="str">
        <f>VLOOKUP($A235,'Institution Evaluation'!$A$56:$K$346,8,0)&amp;""</f>
        <v/>
      </c>
      <c r="I235" s="46" t="str">
        <f>VLOOKUP($A235,'Institution Evaluation'!$A$56:$K$346,9,0)&amp;""</f>
        <v>Standard Importance</v>
      </c>
      <c r="J235" s="187" t="str">
        <f>VLOOKUP($A235,'Institution Evaluation'!$A$56:$K$346,10,0)&amp;""</f>
        <v/>
      </c>
      <c r="K235" s="49" t="str">
        <f>IF(VLOOKUP($A235,'Institution Evaluation'!$A$56:$K$346,10,0)=TRUE,"Yes","")</f>
        <v/>
      </c>
    </row>
    <row r="236" spans="1:11" ht="90" x14ac:dyDescent="0.2">
      <c r="A236" s="19" t="s">
        <v>640</v>
      </c>
      <c r="B236" s="18" t="str">
        <f>VLOOKUP($A236,Questions!$A$2:$X$333,2,0)</f>
        <v>Is there a limit to the number of groups to which a user can be assigned?</v>
      </c>
      <c r="C236" s="46" t="str">
        <f>VLOOKUP($A236,'Institution Evaluation'!$A$56:$K$346,3,0)&amp;""</f>
        <v/>
      </c>
      <c r="D236" s="46" t="str">
        <f>VLOOKUP($A236,'Institution Evaluation'!$A$56:$K$346,4,0)&amp;""</f>
        <v>This question does not apply.</v>
      </c>
      <c r="E236" s="331" t="str">
        <f>VLOOKUP($A236,'Institution Evaluation'!$A$56:$K$346,5,0)&amp;""</f>
        <v>Based on the response to REQU-05 on the "START HERE" tab, this question does not apply to this product or service.</v>
      </c>
      <c r="F236" s="189" t="str">
        <f>VLOOKUP($A236,'Institution Evaluation'!$A$56:$K$346,6,0)&amp;""</f>
        <v/>
      </c>
      <c r="G236" s="31" t="str">
        <f>VLOOKUP($A236,'Institution Evaluation'!$A$56:$K$346,7,0)&amp;""</f>
        <v>Yes</v>
      </c>
      <c r="H236" s="186" t="str">
        <f>VLOOKUP($A236,'Institution Evaluation'!$A$56:$K$346,8,0)&amp;""</f>
        <v/>
      </c>
      <c r="I236" s="46" t="str">
        <f>VLOOKUP($A236,'Institution Evaluation'!$A$56:$K$346,9,0)&amp;""</f>
        <v>Standard Importance</v>
      </c>
      <c r="J236" s="187" t="str">
        <f>VLOOKUP($A236,'Institution Evaluation'!$A$56:$K$346,10,0)&amp;""</f>
        <v/>
      </c>
      <c r="K236" s="49" t="str">
        <f>IF(VLOOKUP($A236,'Institution Evaluation'!$A$56:$K$346,10,0)=TRUE,"Yes","")</f>
        <v/>
      </c>
    </row>
    <row r="237" spans="1:11" ht="90" x14ac:dyDescent="0.2">
      <c r="A237" s="19" t="s">
        <v>642</v>
      </c>
      <c r="B237" s="18" t="str">
        <f>VLOOKUP($A237,Questions!$A$2:$X$333,2,0)</f>
        <v>Do accounts used for solution provider-supplied remote support abide by the same authentication policies and access logging as the rest of the system?</v>
      </c>
      <c r="C237" s="46" t="str">
        <f>VLOOKUP($A237,'Institution Evaluation'!$A$56:$K$346,3,0)&amp;""</f>
        <v/>
      </c>
      <c r="D237" s="46" t="str">
        <f>VLOOKUP($A237,'Institution Evaluation'!$A$56:$K$346,4,0)&amp;""</f>
        <v>This question does not apply.</v>
      </c>
      <c r="E237" s="331" t="str">
        <f>VLOOKUP($A237,'Institution Evaluation'!$A$56:$K$346,5,0)&amp;""</f>
        <v>Based on the response to REQU-05 on the "START HERE" tab, this question does not apply to this product or service.</v>
      </c>
      <c r="F237" s="189" t="str">
        <f>VLOOKUP($A237,'Institution Evaluation'!$A$56:$K$346,6,0)&amp;""</f>
        <v/>
      </c>
      <c r="G237" s="31" t="str">
        <f>VLOOKUP($A237,'Institution Evaluation'!$A$56:$K$346,7,0)&amp;""</f>
        <v>Yes</v>
      </c>
      <c r="H237" s="186" t="str">
        <f>VLOOKUP($A237,'Institution Evaluation'!$A$56:$K$346,8,0)&amp;""</f>
        <v/>
      </c>
      <c r="I237" s="46" t="str">
        <f>VLOOKUP($A237,'Institution Evaluation'!$A$56:$K$346,9,0)&amp;""</f>
        <v>Standard Importance</v>
      </c>
      <c r="J237" s="187" t="str">
        <f>VLOOKUP($A237,'Institution Evaluation'!$A$56:$K$346,10,0)&amp;""</f>
        <v/>
      </c>
      <c r="K237" s="49" t="str">
        <f>IF(VLOOKUP($A237,'Institution Evaluation'!$A$56:$K$346,10,0)=TRUE,"Yes","")</f>
        <v/>
      </c>
    </row>
    <row r="238" spans="1:11" ht="90" x14ac:dyDescent="0.2">
      <c r="A238" s="19" t="s">
        <v>643</v>
      </c>
      <c r="B238" s="18" t="str">
        <f>VLOOKUP($A238,Questions!$A$2:$X$333,2,0)</f>
        <v>Does the application log record access including specific user, date/time of access, and originating IP or device?</v>
      </c>
      <c r="C238" s="46" t="str">
        <f>VLOOKUP($A238,'Institution Evaluation'!$A$56:$K$346,3,0)&amp;""</f>
        <v/>
      </c>
      <c r="D238" s="46" t="str">
        <f>VLOOKUP($A238,'Institution Evaluation'!$A$56:$K$346,4,0)&amp;""</f>
        <v>This question does not apply.</v>
      </c>
      <c r="E238" s="331" t="str">
        <f>VLOOKUP($A238,'Institution Evaluation'!$A$56:$K$346,5,0)&amp;""</f>
        <v>Based on the response to REQU-05 on the "START HERE" tab, this question does not apply to this product or service.</v>
      </c>
      <c r="F238" s="189" t="str">
        <f>VLOOKUP($A238,'Institution Evaluation'!$A$56:$K$346,6,0)&amp;""</f>
        <v/>
      </c>
      <c r="G238" s="31" t="str">
        <f>VLOOKUP($A238,'Institution Evaluation'!$A$56:$K$346,7,0)&amp;""</f>
        <v>Yes</v>
      </c>
      <c r="H238" s="186" t="str">
        <f>VLOOKUP($A238,'Institution Evaluation'!$A$56:$K$346,8,0)&amp;""</f>
        <v/>
      </c>
      <c r="I238" s="46" t="str">
        <f>VLOOKUP($A238,'Institution Evaluation'!$A$56:$K$346,9,0)&amp;""</f>
        <v>Standard Importance</v>
      </c>
      <c r="J238" s="187" t="str">
        <f>VLOOKUP($A238,'Institution Evaluation'!$A$56:$K$346,10,0)&amp;""</f>
        <v/>
      </c>
      <c r="K238" s="49" t="str">
        <f>IF(VLOOKUP($A238,'Institution Evaluation'!$A$56:$K$346,10,0)=TRUE,"Yes","")</f>
        <v/>
      </c>
    </row>
    <row r="239" spans="1:11" ht="90" x14ac:dyDescent="0.2">
      <c r="A239" s="19" t="s">
        <v>644</v>
      </c>
      <c r="B239" s="18" t="str">
        <f>VLOOKUP($A239,Questions!$A$2:$X$333,2,0)</f>
        <v>Does the application log administrative activity, such as user account access changes and password changes, including specific user, date/time of changes, and originating IP or device?</v>
      </c>
      <c r="C239" s="46" t="str">
        <f>VLOOKUP($A239,'Institution Evaluation'!$A$56:$K$346,3,0)&amp;""</f>
        <v/>
      </c>
      <c r="D239" s="46" t="str">
        <f>VLOOKUP($A239,'Institution Evaluation'!$A$56:$K$346,4,0)&amp;""</f>
        <v>This question does not apply.</v>
      </c>
      <c r="E239" s="331" t="str">
        <f>VLOOKUP($A239,'Institution Evaluation'!$A$56:$K$346,5,0)&amp;""</f>
        <v>Based on the response to REQU-05 on the "START HERE" tab, this question does not apply to this product or service.</v>
      </c>
      <c r="F239" s="189" t="str">
        <f>VLOOKUP($A239,'Institution Evaluation'!$A$56:$K$346,6,0)&amp;""</f>
        <v/>
      </c>
      <c r="G239" s="31" t="str">
        <f>VLOOKUP($A239,'Institution Evaluation'!$A$56:$K$346,7,0)&amp;""</f>
        <v>Yes</v>
      </c>
      <c r="H239" s="186" t="str">
        <f>VLOOKUP($A239,'Institution Evaluation'!$A$56:$K$346,8,0)&amp;""</f>
        <v/>
      </c>
      <c r="I239" s="46" t="str">
        <f>VLOOKUP($A239,'Institution Evaluation'!$A$56:$K$346,9,0)&amp;""</f>
        <v>Standard Importance</v>
      </c>
      <c r="J239" s="187" t="str">
        <f>VLOOKUP($A239,'Institution Evaluation'!$A$56:$K$346,10,0)&amp;""</f>
        <v/>
      </c>
      <c r="K239" s="49" t="str">
        <f>IF(VLOOKUP($A239,'Institution Evaluation'!$A$56:$K$346,10,0)=TRUE,"Yes","")</f>
        <v/>
      </c>
    </row>
    <row r="240" spans="1:11" ht="90" x14ac:dyDescent="0.2">
      <c r="A240" s="19" t="s">
        <v>646</v>
      </c>
      <c r="B240" s="18" t="str">
        <f>VLOOKUP($A240,Questions!$A$2:$X$333,2,0)</f>
        <v>Do you retain logs for at least as long as required by HIPAA regulations?</v>
      </c>
      <c r="C240" s="46" t="str">
        <f>VLOOKUP($A240,'Institution Evaluation'!$A$56:$K$346,3,0)&amp;""</f>
        <v/>
      </c>
      <c r="D240" s="46" t="str">
        <f>VLOOKUP($A240,'Institution Evaluation'!$A$56:$K$346,4,0)&amp;""</f>
        <v>This question does not apply.</v>
      </c>
      <c r="E240" s="331" t="str">
        <f>VLOOKUP($A240,'Institution Evaluation'!$A$56:$K$346,5,0)&amp;""</f>
        <v>Based on the response to REQU-05 on the "START HERE" tab, this question does not apply to this product or service.</v>
      </c>
      <c r="F240" s="189" t="str">
        <f>VLOOKUP($A240,'Institution Evaluation'!$A$56:$K$346,6,0)&amp;""</f>
        <v/>
      </c>
      <c r="G240" s="31" t="str">
        <f>VLOOKUP($A240,'Institution Evaluation'!$A$56:$K$346,7,0)&amp;""</f>
        <v>Yes</v>
      </c>
      <c r="H240" s="186" t="str">
        <f>VLOOKUP($A240,'Institution Evaluation'!$A$56:$K$346,8,0)&amp;""</f>
        <v/>
      </c>
      <c r="I240" s="46" t="str">
        <f>VLOOKUP($A240,'Institution Evaluation'!$A$56:$K$346,9,0)&amp;""</f>
        <v>Standard Importance</v>
      </c>
      <c r="J240" s="187" t="str">
        <f>VLOOKUP($A240,'Institution Evaluation'!$A$56:$K$346,10,0)&amp;""</f>
        <v/>
      </c>
      <c r="K240" s="49" t="str">
        <f>IF(VLOOKUP($A240,'Institution Evaluation'!$A$56:$K$346,10,0)=TRUE,"Yes","")</f>
        <v/>
      </c>
    </row>
    <row r="241" spans="1:14" ht="90" x14ac:dyDescent="0.2">
      <c r="A241" s="19" t="s">
        <v>648</v>
      </c>
      <c r="B241" s="18" t="str">
        <f>VLOOKUP($A241,Questions!$A$2:$X$333,2,0)</f>
        <v>Can the application logs be archived?</v>
      </c>
      <c r="C241" s="46" t="str">
        <f>VLOOKUP($A241,'Institution Evaluation'!$A$56:$K$346,3,0)&amp;""</f>
        <v/>
      </c>
      <c r="D241" s="46" t="str">
        <f>VLOOKUP($A241,'Institution Evaluation'!$A$56:$K$346,4,0)&amp;""</f>
        <v>This question does not apply.</v>
      </c>
      <c r="E241" s="331" t="str">
        <f>VLOOKUP($A241,'Institution Evaluation'!$A$56:$K$346,5,0)&amp;""</f>
        <v>Based on the response to REQU-05 on the "START HERE" tab, this question does not apply to this product or service.</v>
      </c>
      <c r="F241" s="189" t="str">
        <f>VLOOKUP($A241,'Institution Evaluation'!$A$56:$K$346,6,0)&amp;""</f>
        <v/>
      </c>
      <c r="G241" s="31" t="str">
        <f>VLOOKUP($A241,'Institution Evaluation'!$A$56:$K$346,7,0)&amp;""</f>
        <v>Yes</v>
      </c>
      <c r="H241" s="186" t="str">
        <f>VLOOKUP($A241,'Institution Evaluation'!$A$56:$K$346,8,0)&amp;""</f>
        <v/>
      </c>
      <c r="I241" s="46" t="str">
        <f>VLOOKUP($A241,'Institution Evaluation'!$A$56:$K$346,9,0)&amp;""</f>
        <v>Standard Importance</v>
      </c>
      <c r="J241" s="187" t="str">
        <f>VLOOKUP($A241,'Institution Evaluation'!$A$56:$K$346,10,0)&amp;""</f>
        <v/>
      </c>
      <c r="K241" s="49" t="str">
        <f>IF(VLOOKUP($A241,'Institution Evaluation'!$A$56:$K$346,10,0)=TRUE,"Yes","")</f>
        <v/>
      </c>
    </row>
    <row r="242" spans="1:14" ht="90" x14ac:dyDescent="0.2">
      <c r="A242" s="19" t="s">
        <v>650</v>
      </c>
      <c r="B242" s="18" t="str">
        <f>VLOOKUP($A242,Questions!$A$2:$X$333,2,0)</f>
        <v>Can the application logs be saved externally?</v>
      </c>
      <c r="C242" s="46" t="str">
        <f>VLOOKUP($A242,'Institution Evaluation'!$A$56:$K$346,3,0)&amp;""</f>
        <v/>
      </c>
      <c r="D242" s="46" t="str">
        <f>VLOOKUP($A242,'Institution Evaluation'!$A$56:$K$346,4,0)&amp;""</f>
        <v>This question does not apply.</v>
      </c>
      <c r="E242" s="331" t="str">
        <f>VLOOKUP($A242,'Institution Evaluation'!$A$56:$K$346,5,0)&amp;""</f>
        <v>Based on the response to REQU-05 on the "START HERE" tab, this question does not apply to this product or service.</v>
      </c>
      <c r="F242" s="189" t="str">
        <f>VLOOKUP($A242,'Institution Evaluation'!$A$56:$K$346,6,0)&amp;""</f>
        <v/>
      </c>
      <c r="G242" s="31" t="str">
        <f>VLOOKUP($A242,'Institution Evaluation'!$A$56:$K$346,7,0)&amp;""</f>
        <v>Yes</v>
      </c>
      <c r="H242" s="186" t="str">
        <f>VLOOKUP($A242,'Institution Evaluation'!$A$56:$K$346,8,0)&amp;""</f>
        <v/>
      </c>
      <c r="I242" s="46" t="str">
        <f>VLOOKUP($A242,'Institution Evaluation'!$A$56:$K$346,9,0)&amp;""</f>
        <v>Standard Importance</v>
      </c>
      <c r="J242" s="187" t="str">
        <f>VLOOKUP($A242,'Institution Evaluation'!$A$56:$K$346,10,0)&amp;""</f>
        <v/>
      </c>
      <c r="K242" s="49" t="str">
        <f>IF(VLOOKUP($A242,'Institution Evaluation'!$A$56:$K$346,10,0)=TRUE,"Yes","")</f>
        <v/>
      </c>
    </row>
    <row r="243" spans="1:14" ht="90" x14ac:dyDescent="0.2">
      <c r="A243" s="19" t="s">
        <v>652</v>
      </c>
      <c r="B243" s="18" t="str">
        <f>VLOOKUP($A243,Questions!$A$2:$X$333,2,0)</f>
        <v>Do you have a disaster recovery plan and emergency mode operation plan?</v>
      </c>
      <c r="C243" s="46" t="str">
        <f>VLOOKUP($A243,'Institution Evaluation'!$A$56:$K$346,3,0)&amp;""</f>
        <v/>
      </c>
      <c r="D243" s="46" t="str">
        <f>VLOOKUP($A243,'Institution Evaluation'!$A$56:$K$346,4,0)&amp;""</f>
        <v>This question does not apply.</v>
      </c>
      <c r="E243" s="331" t="str">
        <f>VLOOKUP($A243,'Institution Evaluation'!$A$56:$K$346,5,0)&amp;""</f>
        <v>Based on the response to REQU-05 on the "START HERE" tab, this question does not apply to this product or service.</v>
      </c>
      <c r="F243" s="189" t="str">
        <f>VLOOKUP($A243,'Institution Evaluation'!$A$56:$K$346,6,0)&amp;""</f>
        <v/>
      </c>
      <c r="G243" s="31" t="str">
        <f>VLOOKUP($A243,'Institution Evaluation'!$A$56:$K$346,7,0)&amp;""</f>
        <v>Yes</v>
      </c>
      <c r="H243" s="186" t="str">
        <f>VLOOKUP($A243,'Institution Evaluation'!$A$56:$K$346,8,0)&amp;""</f>
        <v/>
      </c>
      <c r="I243" s="46" t="str">
        <f>VLOOKUP($A243,'Institution Evaluation'!$A$56:$K$346,9,0)&amp;""</f>
        <v>Standard Importance</v>
      </c>
      <c r="J243" s="187" t="str">
        <f>VLOOKUP($A243,'Institution Evaluation'!$A$56:$K$346,10,0)&amp;""</f>
        <v/>
      </c>
      <c r="K243" s="49" t="str">
        <f>IF(VLOOKUP($A243,'Institution Evaluation'!$A$56:$K$346,10,0)=TRUE,"Yes","")</f>
        <v/>
      </c>
    </row>
    <row r="244" spans="1:14" ht="90" x14ac:dyDescent="0.2">
      <c r="A244" s="19" t="s">
        <v>653</v>
      </c>
      <c r="B244" s="18" t="str">
        <f>VLOOKUP($A244,Questions!$A$2:$X$333,2,0)</f>
        <v>Can you provide a HIPAA compliance attestation document?</v>
      </c>
      <c r="C244" s="46" t="str">
        <f>VLOOKUP($A244,'Institution Evaluation'!$A$56:$K$346,3,0)&amp;""</f>
        <v/>
      </c>
      <c r="D244" s="46" t="str">
        <f>VLOOKUP($A244,'Institution Evaluation'!$A$56:$K$346,4,0)&amp;""</f>
        <v>This question does not apply.</v>
      </c>
      <c r="E244" s="331" t="str">
        <f>VLOOKUP($A244,'Institution Evaluation'!$A$56:$K$346,5,0)&amp;""</f>
        <v>Based on the response to REQU-05 on the "START HERE" tab, this question does not apply to this product or service.</v>
      </c>
      <c r="F244" s="189" t="str">
        <f>VLOOKUP($A244,'Institution Evaluation'!$A$56:$K$346,6,0)&amp;""</f>
        <v/>
      </c>
      <c r="G244" s="31" t="str">
        <f>VLOOKUP($A244,'Institution Evaluation'!$A$56:$K$346,7,0)&amp;""</f>
        <v>Yes</v>
      </c>
      <c r="H244" s="186" t="str">
        <f>VLOOKUP($A244,'Institution Evaluation'!$A$56:$K$346,8,0)&amp;""</f>
        <v/>
      </c>
      <c r="I244" s="46" t="str">
        <f>VLOOKUP($A244,'Institution Evaluation'!$A$56:$K$346,9,0)&amp;""</f>
        <v>Standard Importance</v>
      </c>
      <c r="J244" s="187" t="str">
        <f>VLOOKUP($A244,'Institution Evaluation'!$A$56:$K$346,10,0)&amp;""</f>
        <v/>
      </c>
      <c r="K244" s="49" t="str">
        <f>IF(VLOOKUP($A244,'Institution Evaluation'!$A$56:$K$346,10,0)=TRUE,"Yes","")</f>
        <v/>
      </c>
    </row>
    <row r="245" spans="1:14" ht="90" x14ac:dyDescent="0.2">
      <c r="A245" s="19" t="s">
        <v>655</v>
      </c>
      <c r="B245" s="18" t="str">
        <f>VLOOKUP($A245,Questions!$A$2:$X$333,2,0)</f>
        <v>Are you willing to enter into a Business Associate Agreement (BAA)?</v>
      </c>
      <c r="C245" s="46" t="str">
        <f>VLOOKUP($A245,'Institution Evaluation'!$A$56:$K$346,3,0)&amp;""</f>
        <v/>
      </c>
      <c r="D245" s="46" t="str">
        <f>VLOOKUP($A245,'Institution Evaluation'!$A$56:$K$346,4,0)&amp;""</f>
        <v>This question does not apply.</v>
      </c>
      <c r="E245" s="331" t="str">
        <f>VLOOKUP($A245,'Institution Evaluation'!$A$56:$K$346,5,0)&amp;""</f>
        <v>Based on the response to REQU-05 on the "START HERE" tab, this question does not apply to this product or service.</v>
      </c>
      <c r="F245" s="189" t="str">
        <f>VLOOKUP($A245,'Institution Evaluation'!$A$56:$K$346,6,0)&amp;""</f>
        <v/>
      </c>
      <c r="G245" s="31" t="str">
        <f>VLOOKUP($A245,'Institution Evaluation'!$A$56:$K$346,7,0)&amp;""</f>
        <v>Yes</v>
      </c>
      <c r="H245" s="186" t="str">
        <f>VLOOKUP($A245,'Institution Evaluation'!$A$56:$K$346,8,0)&amp;""</f>
        <v/>
      </c>
      <c r="I245" s="46" t="str">
        <f>VLOOKUP($A245,'Institution Evaluation'!$A$56:$K$346,9,0)&amp;""</f>
        <v>Standard Importance</v>
      </c>
      <c r="J245" s="187" t="str">
        <f>VLOOKUP($A245,'Institution Evaluation'!$A$56:$K$346,10,0)&amp;""</f>
        <v/>
      </c>
      <c r="K245" s="49" t="str">
        <f>IF(VLOOKUP($A245,'Institution Evaluation'!$A$56:$K$346,10,0)=TRUE,"Yes","")</f>
        <v/>
      </c>
    </row>
    <row r="246" spans="1:14" ht="90" x14ac:dyDescent="0.2">
      <c r="A246" s="19" t="s">
        <v>657</v>
      </c>
      <c r="B246" s="18" t="str">
        <f>VLOOKUP($A246,Questions!$A$2:$X$333,2,0)</f>
        <v>Do your data backup and retention policies and practices meet HIPAA requirements?</v>
      </c>
      <c r="C246" s="46" t="str">
        <f>VLOOKUP($A246,'Institution Evaluation'!$A$56:$K$346,3,0)&amp;""</f>
        <v/>
      </c>
      <c r="D246" s="46" t="str">
        <f>VLOOKUP($A246,'Institution Evaluation'!$A$56:$K$346,4,0)&amp;""</f>
        <v>This question does not apply.</v>
      </c>
      <c r="E246" s="331" t="str">
        <f>VLOOKUP($A246,'Institution Evaluation'!$A$56:$K$346,5,0)&amp;""</f>
        <v>Based on the response to REQU-05 on the "START HERE" tab, this question does not apply to this product or service.</v>
      </c>
      <c r="F246" s="189" t="str">
        <f>VLOOKUP($A246,'Institution Evaluation'!$A$56:$K$346,6,0)&amp;""</f>
        <v/>
      </c>
      <c r="G246" s="31" t="str">
        <f>VLOOKUP($A246,'Institution Evaluation'!$A$56:$K$346,7,0)&amp;""</f>
        <v>Yes</v>
      </c>
      <c r="H246" s="186" t="str">
        <f>VLOOKUP($A246,'Institution Evaluation'!$A$56:$K$346,8,0)&amp;""</f>
        <v/>
      </c>
      <c r="I246" s="46" t="str">
        <f>VLOOKUP($A246,'Institution Evaluation'!$A$56:$K$346,9,0)&amp;""</f>
        <v>Minor Importance</v>
      </c>
      <c r="J246" s="187" t="str">
        <f>VLOOKUP($A246,'Institution Evaluation'!$A$56:$K$346,10,0)&amp;""</f>
        <v/>
      </c>
      <c r="K246" s="49" t="str">
        <f>IF(VLOOKUP($A246,'Institution Evaluation'!$A$56:$K$346,10,0)=TRUE,"Yes","")</f>
        <v/>
      </c>
    </row>
    <row r="247" spans="1:14" s="1" customFormat="1" ht="18" x14ac:dyDescent="0.2">
      <c r="A247" s="64" t="str">
        <f>VLOOKUP(LEFT($A248,4),'Auto Responses'!$N$4:$O$38,2,0)&amp;""</f>
        <v xml:space="preserve"> Payment Card Industry Data Security Standard (PCI DSS)</v>
      </c>
      <c r="B247" s="23"/>
      <c r="C247" s="32"/>
      <c r="D247" s="32"/>
      <c r="E247" s="332"/>
      <c r="F247" s="133" t="s">
        <v>1066</v>
      </c>
      <c r="G247" s="336" t="s">
        <v>904</v>
      </c>
      <c r="H247" s="336" t="s">
        <v>906</v>
      </c>
      <c r="I247" s="336" t="s">
        <v>19</v>
      </c>
      <c r="J247" s="336" t="s">
        <v>891</v>
      </c>
      <c r="K247" s="32"/>
    </row>
    <row r="248" spans="1:14" ht="90" x14ac:dyDescent="0.2">
      <c r="A248" s="19" t="s">
        <v>658</v>
      </c>
      <c r="B248" s="18" t="str">
        <f>VLOOKUP($A248,Questions!$A$2:$X$333,2,0)</f>
        <v>Do you have a current, executed within the past year, Attestation of Compliance (AoC) or Report on Compliance (RoC)?*</v>
      </c>
      <c r="C248" s="46" t="str">
        <f>VLOOKUP($A248,'Institution Evaluation'!$A$56:$K$346,3,0)&amp;""</f>
        <v/>
      </c>
      <c r="D248" s="46" t="str">
        <f>VLOOKUP($A248,'Institution Evaluation'!$A$56:$K$346,4,0)&amp;""</f>
        <v>This question does not apply.</v>
      </c>
      <c r="E248" s="331" t="str">
        <f>VLOOKUP($A248,'Institution Evaluation'!$A$56:$K$346,5,0)&amp;""</f>
        <v>Based on the response to REQU-06 on the "START HERE" tab, this question does not apply to this product or service.</v>
      </c>
      <c r="F248" s="189" t="str">
        <f>VLOOKUP($A248,'Institution Evaluation'!$A$56:$K$346,6,0)&amp;""</f>
        <v/>
      </c>
      <c r="G248" s="31" t="str">
        <f>VLOOKUP($A248,'Institution Evaluation'!$A$56:$K$346,7,0)&amp;""</f>
        <v>Yes</v>
      </c>
      <c r="H248" s="186" t="str">
        <f>VLOOKUP($A248,'Institution Evaluation'!$A$56:$K$346,8,0)&amp;""</f>
        <v/>
      </c>
      <c r="I248" s="46" t="str">
        <f>VLOOKUP($A248,'Institution Evaluation'!$A$56:$K$346,9,0)&amp;""</f>
        <v>Critical Importance</v>
      </c>
      <c r="J248" s="187" t="str">
        <f>VLOOKUP($A248,'Institution Evaluation'!$A$56:$K$346,10,0)&amp;""</f>
        <v/>
      </c>
      <c r="K248" s="49" t="str">
        <f>IF(VLOOKUP($A248,'Institution Evaluation'!$A$56:$K$346,10,0)=TRUE,"Yes","")</f>
        <v/>
      </c>
      <c r="N248" s="61"/>
    </row>
    <row r="249" spans="1:14" ht="90" x14ac:dyDescent="0.2">
      <c r="A249" s="19" t="s">
        <v>662</v>
      </c>
      <c r="B249" s="18" t="str">
        <f>VLOOKUP($A249,Questions!$A$2:$X$333,2,0)</f>
        <v>Is the application listed as an approved Payment Application Data Security Standard (PA-DSS) application?*</v>
      </c>
      <c r="C249" s="46" t="str">
        <f>VLOOKUP($A249,'Institution Evaluation'!$A$56:$K$346,3,0)&amp;""</f>
        <v/>
      </c>
      <c r="D249" s="46" t="str">
        <f>VLOOKUP($A249,'Institution Evaluation'!$A$56:$K$346,4,0)&amp;""</f>
        <v>This question does not apply.</v>
      </c>
      <c r="E249" s="331" t="str">
        <f>VLOOKUP($A249,'Institution Evaluation'!$A$56:$K$346,5,0)&amp;""</f>
        <v>Based on the response to REQU-06 on the "START HERE" tab, this question does not apply to this product or service.</v>
      </c>
      <c r="F249" s="189" t="str">
        <f>VLOOKUP($A249,'Institution Evaluation'!$A$56:$K$346,6,0)&amp;""</f>
        <v/>
      </c>
      <c r="G249" s="31" t="str">
        <f>VLOOKUP($A249,'Institution Evaluation'!$A$56:$K$346,7,0)&amp;""</f>
        <v>No</v>
      </c>
      <c r="H249" s="186" t="str">
        <f>VLOOKUP($A249,'Institution Evaluation'!$A$56:$K$346,8,0)&amp;""</f>
        <v/>
      </c>
      <c r="I249" s="46" t="str">
        <f>VLOOKUP($A249,'Institution Evaluation'!$A$56:$K$346,9,0)&amp;""</f>
        <v>Critical Importance</v>
      </c>
      <c r="J249" s="187" t="str">
        <f>VLOOKUP($A249,'Institution Evaluation'!$A$56:$K$346,10,0)&amp;""</f>
        <v/>
      </c>
      <c r="K249" s="49" t="str">
        <f>IF(VLOOKUP($A249,'Institution Evaluation'!$A$56:$K$346,10,0)=TRUE,"Yes","")</f>
        <v/>
      </c>
    </row>
    <row r="250" spans="1:14" ht="90" x14ac:dyDescent="0.2">
      <c r="A250" s="19" t="s">
        <v>664</v>
      </c>
      <c r="B250" s="18" t="str">
        <f>VLOOKUP($A250,Questions!$A$2:$X$333,2,0)</f>
        <v>Does the system or solutions use a third party to collect, store, process, or transmit cardholder (payment/credit/debt card) data?*</v>
      </c>
      <c r="C250" s="46" t="str">
        <f>VLOOKUP($A250,'Institution Evaluation'!$A$56:$K$346,3,0)&amp;""</f>
        <v/>
      </c>
      <c r="D250" s="46" t="str">
        <f>VLOOKUP($A250,'Institution Evaluation'!$A$56:$K$346,4,0)&amp;""</f>
        <v>This question does not apply.</v>
      </c>
      <c r="E250" s="331" t="str">
        <f>VLOOKUP($A250,'Institution Evaluation'!$A$56:$K$346,5,0)&amp;""</f>
        <v>Based on the response to REQU-06 on the "START HERE" tab, this question does not apply to this product or service.</v>
      </c>
      <c r="F250" s="189" t="str">
        <f>VLOOKUP($A250,'Institution Evaluation'!$A$56:$K$346,6,0)&amp;""</f>
        <v/>
      </c>
      <c r="G250" s="31" t="str">
        <f>VLOOKUP($A250,'Institution Evaluation'!$A$56:$K$346,7,0)&amp;""</f>
        <v>No</v>
      </c>
      <c r="H250" s="186" t="str">
        <f>VLOOKUP($A250,'Institution Evaluation'!$A$56:$K$346,8,0)&amp;""</f>
        <v/>
      </c>
      <c r="I250" s="46" t="str">
        <f>VLOOKUP($A250,'Institution Evaluation'!$A$56:$K$346,9,0)&amp;""</f>
        <v>Critical Importance</v>
      </c>
      <c r="J250" s="187" t="str">
        <f>VLOOKUP($A250,'Institution Evaluation'!$A$56:$K$346,10,0)&amp;""</f>
        <v/>
      </c>
      <c r="K250" s="49" t="str">
        <f>IF(VLOOKUP($A250,'Institution Evaluation'!$A$56:$K$346,10,0)=TRUE,"Yes","")</f>
        <v/>
      </c>
    </row>
    <row r="251" spans="1:14" ht="90" x14ac:dyDescent="0.2">
      <c r="A251" s="19" t="s">
        <v>665</v>
      </c>
      <c r="B251" s="18" t="str">
        <f>VLOOKUP($A251,Questions!$A$2:$X$333,2,0)</f>
        <v>Do your systems or solutions store, process, or transmit cardholder (payment/credit/debt card) data?</v>
      </c>
      <c r="C251" s="46" t="str">
        <f>VLOOKUP($A251,'Institution Evaluation'!$A$56:$K$346,3,0)&amp;""</f>
        <v/>
      </c>
      <c r="D251" s="46" t="str">
        <f>VLOOKUP($A251,'Institution Evaluation'!$A$56:$K$346,4,0)&amp;""</f>
        <v>This question does not apply.</v>
      </c>
      <c r="E251" s="331" t="str">
        <f>VLOOKUP($A251,'Institution Evaluation'!$A$56:$K$346,5,0)&amp;""</f>
        <v>Based on the response to REQU-06 on the "START HERE" tab, this question does not apply to this product or service.</v>
      </c>
      <c r="F251" s="189" t="str">
        <f>VLOOKUP($A251,'Institution Evaluation'!$A$56:$K$346,6,0)&amp;""</f>
        <v/>
      </c>
      <c r="G251" s="31" t="str">
        <f>VLOOKUP($A251,'Institution Evaluation'!$A$56:$K$346,7,0)&amp;""</f>
        <v>Yes</v>
      </c>
      <c r="H251" s="186" t="str">
        <f>VLOOKUP($A251,'Institution Evaluation'!$A$56:$K$346,8,0)&amp;""</f>
        <v/>
      </c>
      <c r="I251" s="46" t="str">
        <f>VLOOKUP($A251,'Institution Evaluation'!$A$56:$K$346,9,0)&amp;""</f>
        <v>Standard Importance</v>
      </c>
      <c r="J251" s="187" t="str">
        <f>VLOOKUP($A251,'Institution Evaluation'!$A$56:$K$346,10,0)&amp;""</f>
        <v/>
      </c>
      <c r="K251" s="49" t="str">
        <f>IF(VLOOKUP($A251,'Institution Evaluation'!$A$56:$K$346,10,0)=TRUE,"Yes","")</f>
        <v/>
      </c>
    </row>
    <row r="252" spans="1:14" ht="90" x14ac:dyDescent="0.2">
      <c r="A252" s="19" t="s">
        <v>667</v>
      </c>
      <c r="B252" s="18" t="str">
        <f>VLOOKUP($A252,Questions!$A$2:$X$333,2,0)</f>
        <v>Are you compliant with the Payment Card Industry Data Security Standard (PCI DSS)?</v>
      </c>
      <c r="C252" s="46" t="str">
        <f>VLOOKUP($A252,'Institution Evaluation'!$A$56:$K$346,3,0)&amp;""</f>
        <v/>
      </c>
      <c r="D252" s="46" t="str">
        <f>VLOOKUP($A252,'Institution Evaluation'!$A$56:$K$346,4,0)&amp;""</f>
        <v>This question does not apply.</v>
      </c>
      <c r="E252" s="331" t="str">
        <f>VLOOKUP($A252,'Institution Evaluation'!$A$56:$K$346,5,0)&amp;""</f>
        <v>Based on the response to REQU-06 on the "START HERE" tab, this question does not apply to this product or service.</v>
      </c>
      <c r="F252" s="189" t="str">
        <f>VLOOKUP($A252,'Institution Evaluation'!$A$56:$K$346,6,0)&amp;""</f>
        <v/>
      </c>
      <c r="G252" s="31" t="str">
        <f>VLOOKUP($A252,'Institution Evaluation'!$A$56:$K$346,7,0)&amp;""</f>
        <v>Yes</v>
      </c>
      <c r="H252" s="186" t="str">
        <f>VLOOKUP($A252,'Institution Evaluation'!$A$56:$K$346,8,0)&amp;""</f>
        <v/>
      </c>
      <c r="I252" s="46" t="str">
        <f>VLOOKUP($A252,'Institution Evaluation'!$A$56:$K$346,9,0)&amp;""</f>
        <v>Standard Importance</v>
      </c>
      <c r="J252" s="187" t="str">
        <f>VLOOKUP($A252,'Institution Evaluation'!$A$56:$K$346,10,0)&amp;""</f>
        <v/>
      </c>
      <c r="K252" s="49" t="str">
        <f>IF(VLOOKUP($A252,'Institution Evaluation'!$A$56:$K$346,10,0)=TRUE,"Yes","")</f>
        <v/>
      </c>
    </row>
    <row r="253" spans="1:14" ht="90" x14ac:dyDescent="0.2">
      <c r="A253" s="19" t="s">
        <v>668</v>
      </c>
      <c r="B253" s="18" t="str">
        <f>VLOOKUP($A253,Questions!$A$2:$X$333,2,0)</f>
        <v>Are you classified as a service provider?</v>
      </c>
      <c r="C253" s="46" t="str">
        <f>VLOOKUP($A253,'Institution Evaluation'!$A$56:$K$346,3,0)&amp;""</f>
        <v/>
      </c>
      <c r="D253" s="46" t="str">
        <f>VLOOKUP($A253,'Institution Evaluation'!$A$56:$K$346,4,0)&amp;""</f>
        <v>This question does not apply.</v>
      </c>
      <c r="E253" s="331" t="str">
        <f>VLOOKUP($A253,'Institution Evaluation'!$A$56:$K$346,5,0)&amp;""</f>
        <v>Based on the response to REQU-06 on the "START HERE" tab, this question does not apply to this product or service.</v>
      </c>
      <c r="F253" s="189" t="str">
        <f>VLOOKUP($A253,'Institution Evaluation'!$A$56:$K$346,6,0)&amp;""</f>
        <v/>
      </c>
      <c r="G253" s="31" t="str">
        <f>VLOOKUP($A253,'Institution Evaluation'!$A$56:$K$346,7,0)&amp;""</f>
        <v>Yes</v>
      </c>
      <c r="H253" s="186" t="str">
        <f>VLOOKUP($A253,'Institution Evaluation'!$A$56:$K$346,8,0)&amp;""</f>
        <v/>
      </c>
      <c r="I253" s="46" t="str">
        <f>VLOOKUP($A253,'Institution Evaluation'!$A$56:$K$346,9,0)&amp;""</f>
        <v>Standard Importance</v>
      </c>
      <c r="J253" s="187" t="str">
        <f>VLOOKUP($A253,'Institution Evaluation'!$A$56:$K$346,10,0)&amp;""</f>
        <v/>
      </c>
      <c r="K253" s="49" t="str">
        <f>IF(VLOOKUP($A253,'Institution Evaluation'!$A$56:$K$346,10,0)=TRUE,"Yes","")</f>
        <v/>
      </c>
    </row>
    <row r="254" spans="1:14" ht="90" x14ac:dyDescent="0.2">
      <c r="A254" s="19" t="s">
        <v>670</v>
      </c>
      <c r="B254" s="18" t="str">
        <f>VLOOKUP($A254,Questions!$A$2:$X$333,2,0)</f>
        <v>Are you on the list of Visa approved service providers?</v>
      </c>
      <c r="C254" s="46" t="str">
        <f>VLOOKUP($A254,'Institution Evaluation'!$A$56:$K$346,3,0)&amp;""</f>
        <v/>
      </c>
      <c r="D254" s="46" t="str">
        <f>VLOOKUP($A254,'Institution Evaluation'!$A$56:$K$346,4,0)&amp;""</f>
        <v>This question does not apply.</v>
      </c>
      <c r="E254" s="331" t="str">
        <f>VLOOKUP($A254,'Institution Evaluation'!$A$56:$K$346,5,0)&amp;""</f>
        <v>Based on the response to REQU-06 on the "START HERE" tab, this question does not apply to this product or service.</v>
      </c>
      <c r="F254" s="189" t="str">
        <f>VLOOKUP($A254,'Institution Evaluation'!$A$56:$K$346,6,0)&amp;""</f>
        <v/>
      </c>
      <c r="G254" s="31" t="str">
        <f>VLOOKUP($A254,'Institution Evaluation'!$A$56:$K$346,7,0)&amp;""</f>
        <v>Yes</v>
      </c>
      <c r="H254" s="186" t="str">
        <f>VLOOKUP($A254,'Institution Evaluation'!$A$56:$K$346,8,0)&amp;""</f>
        <v/>
      </c>
      <c r="I254" s="46" t="str">
        <f>VLOOKUP($A254,'Institution Evaluation'!$A$56:$K$346,9,0)&amp;""</f>
        <v>Standard Importance</v>
      </c>
      <c r="J254" s="187" t="str">
        <f>VLOOKUP($A254,'Institution Evaluation'!$A$56:$K$346,10,0)&amp;""</f>
        <v/>
      </c>
      <c r="K254" s="49" t="str">
        <f>IF(VLOOKUP($A254,'Institution Evaluation'!$A$56:$K$346,10,0)=TRUE,"Yes","")</f>
        <v/>
      </c>
    </row>
    <row r="255" spans="1:14" ht="90" x14ac:dyDescent="0.2">
      <c r="A255" s="19" t="s">
        <v>672</v>
      </c>
      <c r="B255" s="18" t="str">
        <f>VLOOKUP($A255,Questions!$A$2:$X$333,2,0)</f>
        <v>Are you classified as a merchant? If so, what level (1, 2, 3, 4)?</v>
      </c>
      <c r="C255" s="46" t="str">
        <f>VLOOKUP($A255,'Institution Evaluation'!$A$56:$K$346,3,0)&amp;""</f>
        <v/>
      </c>
      <c r="D255" s="46" t="str">
        <f>VLOOKUP($A255,'Institution Evaluation'!$A$56:$K$346,4,0)&amp;""</f>
        <v>This question does not apply.</v>
      </c>
      <c r="E255" s="331" t="str">
        <f>VLOOKUP($A255,'Institution Evaluation'!$A$56:$K$346,5,0)&amp;""</f>
        <v>Based on the response to REQU-06 on the "START HERE" tab, this question does not apply to this product or service.</v>
      </c>
      <c r="F255" s="189" t="str">
        <f>VLOOKUP($A255,'Institution Evaluation'!$A$56:$K$346,6,0)&amp;""</f>
        <v/>
      </c>
      <c r="G255" s="31" t="str">
        <f>VLOOKUP($A255,'Institution Evaluation'!$A$56:$K$346,7,0)&amp;""</f>
        <v>Yes</v>
      </c>
      <c r="H255" s="186" t="str">
        <f>VLOOKUP($A255,'Institution Evaluation'!$A$56:$K$346,8,0)&amp;""</f>
        <v/>
      </c>
      <c r="I255" s="46" t="str">
        <f>VLOOKUP($A255,'Institution Evaluation'!$A$56:$K$346,9,0)&amp;""</f>
        <v>Standard Importance</v>
      </c>
      <c r="J255" s="187" t="str">
        <f>VLOOKUP($A255,'Institution Evaluation'!$A$56:$K$346,10,0)&amp;""</f>
        <v/>
      </c>
      <c r="K255" s="49" t="str">
        <f>IF(VLOOKUP($A255,'Institution Evaluation'!$A$56:$K$346,10,0)=TRUE,"Yes","")</f>
        <v/>
      </c>
    </row>
    <row r="256" spans="1:14" ht="90" x14ac:dyDescent="0.2">
      <c r="A256" s="19" t="s">
        <v>674</v>
      </c>
      <c r="B256" s="18" t="str">
        <f>VLOOKUP($A256,Questions!$A$2:$X$333,2,0)</f>
        <v>Describe the architecture employed by the system to verify and authorize credit card transactions.</v>
      </c>
      <c r="C256" s="46" t="str">
        <f>VLOOKUP($A256,'Institution Evaluation'!$A$56:$K$346,3,0)&amp;""</f>
        <v/>
      </c>
      <c r="D256" s="46" t="str">
        <f>VLOOKUP($A256,'Institution Evaluation'!$A$56:$K$346,4,0)&amp;""</f>
        <v>This question does not apply.</v>
      </c>
      <c r="E256" s="331" t="str">
        <f>VLOOKUP($A256,'Institution Evaluation'!$A$56:$K$346,5,0)&amp;""</f>
        <v>Based on the response to REQU-06 on the "START HERE" tab, this question does not apply to this product or service.</v>
      </c>
      <c r="F256" s="189" t="str">
        <f>VLOOKUP($A256,'Institution Evaluation'!$A$56:$K$346,6,0)&amp;""</f>
        <v/>
      </c>
      <c r="G256" s="31" t="str">
        <f>VLOOKUP($A256,'Institution Evaluation'!$A$56:$K$346,7,0)&amp;""</f>
        <v>Not scored</v>
      </c>
      <c r="H256" s="186" t="str">
        <f>VLOOKUP($A256,'Institution Evaluation'!$A$56:$K$346,8,0)&amp;""</f>
        <v/>
      </c>
      <c r="I256" s="46" t="str">
        <f>VLOOKUP($A256,'Institution Evaluation'!$A$56:$K$346,9,0)&amp;""</f>
        <v/>
      </c>
      <c r="J256" s="187" t="str">
        <f>VLOOKUP($A256,'Institution Evaluation'!$A$56:$K$346,10,0)&amp;""</f>
        <v/>
      </c>
      <c r="K256" s="49" t="str">
        <f>IF(VLOOKUP($A256,'Institution Evaluation'!$A$56:$K$346,10,0)=TRUE,"Yes","")</f>
        <v/>
      </c>
    </row>
    <row r="257" spans="1:13" ht="90" x14ac:dyDescent="0.2">
      <c r="A257" s="19" t="s">
        <v>675</v>
      </c>
      <c r="B257" s="18" t="str">
        <f>VLOOKUP($A257,Questions!$A$2:$X$333,2,0)</f>
        <v>What payment processors/gateways does the system support?</v>
      </c>
      <c r="C257" s="46" t="str">
        <f>VLOOKUP($A257,'Institution Evaluation'!$A$56:$K$346,3,0)&amp;""</f>
        <v/>
      </c>
      <c r="D257" s="46" t="str">
        <f>VLOOKUP($A257,'Institution Evaluation'!$A$56:$K$346,4,0)&amp;""</f>
        <v>This question does not apply.</v>
      </c>
      <c r="E257" s="331" t="str">
        <f>VLOOKUP($A257,'Institution Evaluation'!$A$56:$K$346,5,0)&amp;""</f>
        <v>Based on the response to REQU-06 on the "START HERE" tab, this question does not apply to this product or service.</v>
      </c>
      <c r="F257" s="189" t="str">
        <f>VLOOKUP($A257,'Institution Evaluation'!$A$56:$K$346,6,0)&amp;""</f>
        <v/>
      </c>
      <c r="G257" s="31" t="str">
        <f>VLOOKUP($A257,'Institution Evaluation'!$A$56:$K$346,7,0)&amp;""</f>
        <v>Not scored</v>
      </c>
      <c r="H257" s="186" t="str">
        <f>VLOOKUP($A257,'Institution Evaluation'!$A$56:$K$346,8,0)&amp;""</f>
        <v/>
      </c>
      <c r="I257" s="46" t="str">
        <f>VLOOKUP($A257,'Institution Evaluation'!$A$56:$K$346,9,0)&amp;""</f>
        <v/>
      </c>
      <c r="J257" s="187" t="str">
        <f>VLOOKUP($A257,'Institution Evaluation'!$A$56:$K$346,10,0)&amp;""</f>
        <v/>
      </c>
      <c r="K257" s="49" t="str">
        <f>IF(VLOOKUP($A257,'Institution Evaluation'!$A$56:$K$346,10,0)=TRUE,"Yes","")</f>
        <v/>
      </c>
    </row>
    <row r="258" spans="1:13" ht="90" x14ac:dyDescent="0.2">
      <c r="A258" s="19" t="s">
        <v>676</v>
      </c>
      <c r="B258" s="18" t="str">
        <f>VLOOKUP($A258,Questions!$A$2:$X$333,2,0)</f>
        <v>Can the application be installed in a PCI DSS–compliant manner?</v>
      </c>
      <c r="C258" s="46" t="str">
        <f>VLOOKUP($A258,'Institution Evaluation'!$A$56:$K$346,3,0)&amp;""</f>
        <v/>
      </c>
      <c r="D258" s="46" t="str">
        <f>VLOOKUP($A258,'Institution Evaluation'!$A$56:$K$346,4,0)&amp;""</f>
        <v>This question does not apply.</v>
      </c>
      <c r="E258" s="331" t="str">
        <f>VLOOKUP($A258,'Institution Evaluation'!$A$56:$K$346,5,0)&amp;""</f>
        <v>Based on the response to REQU-06 on the "START HERE" tab, this question does not apply to this product or service.</v>
      </c>
      <c r="F258" s="189" t="str">
        <f>VLOOKUP($A258,'Institution Evaluation'!$A$56:$K$346,6,0)&amp;""</f>
        <v/>
      </c>
      <c r="G258" s="31" t="str">
        <f>VLOOKUP($A258,'Institution Evaluation'!$A$56:$K$346,7,0)&amp;""</f>
        <v>Yes</v>
      </c>
      <c r="H258" s="186" t="str">
        <f>VLOOKUP($A258,'Institution Evaluation'!$A$56:$K$346,8,0)&amp;""</f>
        <v/>
      </c>
      <c r="I258" s="46" t="str">
        <f>VLOOKUP($A258,'Institution Evaluation'!$A$56:$K$346,9,0)&amp;""</f>
        <v>Minor Importance</v>
      </c>
      <c r="J258" s="187" t="str">
        <f>VLOOKUP($A258,'Institution Evaluation'!$A$56:$K$346,10,0)&amp;""</f>
        <v/>
      </c>
      <c r="K258" s="49" t="str">
        <f>IF(VLOOKUP($A258,'Institution Evaluation'!$A$56:$K$346,10,0)=TRUE,"Yes","")</f>
        <v/>
      </c>
    </row>
    <row r="259" spans="1:13" ht="90" x14ac:dyDescent="0.2">
      <c r="A259" s="19" t="s">
        <v>677</v>
      </c>
      <c r="B259" s="18" t="str">
        <f>VLOOKUP($A259,Questions!$A$2:$X$333,2,0)</f>
        <v>Include documentation describing the system's abilities to comply with the PCI DSS and any features or capabilities of the system that must be added or changed in order to operate in compliance with the standards.</v>
      </c>
      <c r="C259" s="46" t="str">
        <f>VLOOKUP($A259,'Institution Evaluation'!$A$56:$K$346,3,0)&amp;""</f>
        <v/>
      </c>
      <c r="D259" s="46" t="str">
        <f>VLOOKUP($A259,'Institution Evaluation'!$A$56:$K$346,4,0)&amp;""</f>
        <v>This question does not apply.</v>
      </c>
      <c r="E259" s="331" t="str">
        <f>VLOOKUP($A259,'Institution Evaluation'!$A$56:$K$346,5,0)&amp;""</f>
        <v>Based on the response to REQU-06 on the "START HERE" tab, this question does not apply to this product or service.</v>
      </c>
      <c r="F259" s="189" t="str">
        <f>VLOOKUP($A259,'Institution Evaluation'!$A$56:$K$346,6,0)&amp;""</f>
        <v/>
      </c>
      <c r="G259" s="31" t="str">
        <f>VLOOKUP($A259,'Institution Evaluation'!$A$56:$K$346,7,0)&amp;""</f>
        <v>Not scored</v>
      </c>
      <c r="H259" s="186" t="str">
        <f>VLOOKUP($A259,'Institution Evaluation'!$A$56:$K$346,8,0)&amp;""</f>
        <v/>
      </c>
      <c r="I259" s="46" t="str">
        <f>VLOOKUP($A259,'Institution Evaluation'!$A$56:$K$346,9,0)&amp;""</f>
        <v/>
      </c>
      <c r="J259" s="187" t="str">
        <f>VLOOKUP($A259,'Institution Evaluation'!$A$56:$K$346,10,0)&amp;""</f>
        <v/>
      </c>
      <c r="K259" s="49" t="str">
        <f>IF(VLOOKUP($A259,'Institution Evaluation'!$A$56:$K$346,10,0)=TRUE,"Yes","")</f>
        <v/>
      </c>
      <c r="M259" s="239" t="s">
        <v>1505</v>
      </c>
    </row>
    <row r="260" spans="1:13" ht="47.25" customHeight="1" x14ac:dyDescent="0.2">
      <c r="A260" s="268" t="s">
        <v>1565</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x14ac:dyDescent="0.2"/>
  <cols>
    <col min="1" max="1" width="11.09765625" style="56" customWidth="1"/>
    <col min="2" max="2" width="57.796875" style="53" customWidth="1"/>
    <col min="3" max="3" width="71.09765625" style="54" customWidth="1"/>
    <col min="4" max="4" width="80.296875" style="55" customWidth="1"/>
    <col min="5" max="5" width="6.59765625" style="56" customWidth="1"/>
    <col min="6" max="6" width="0" style="56" hidden="1" customWidth="1"/>
    <col min="7" max="16384" width="6.59765625" style="56" hidden="1"/>
  </cols>
  <sheetData>
    <row r="1" spans="1:5" ht="180" hidden="1" x14ac:dyDescent="0.2">
      <c r="A1" s="56" t="s">
        <v>1509</v>
      </c>
    </row>
    <row r="2" spans="1:5" ht="24.75" x14ac:dyDescent="0.2">
      <c r="A2" s="182" t="s">
        <v>977</v>
      </c>
      <c r="B2" s="182"/>
      <c r="C2" s="182"/>
      <c r="D2" s="269" t="s">
        <v>1565</v>
      </c>
    </row>
    <row r="3" spans="1:5" ht="18" x14ac:dyDescent="0.2">
      <c r="A3" s="234" t="s">
        <v>1067</v>
      </c>
      <c r="B3" s="66"/>
      <c r="C3" s="66"/>
      <c r="D3" s="270"/>
    </row>
    <row r="4" spans="1:5" ht="18" x14ac:dyDescent="0.2">
      <c r="A4" s="236" t="s">
        <v>1567</v>
      </c>
      <c r="B4" s="66"/>
      <c r="C4" s="66"/>
      <c r="D4" s="270"/>
    </row>
    <row r="5" spans="1:5" s="238" customFormat="1" ht="18" x14ac:dyDescent="0.2">
      <c r="A5" s="237" t="s">
        <v>1501</v>
      </c>
      <c r="B5" s="66"/>
      <c r="C5" s="66"/>
      <c r="D5" s="270"/>
    </row>
    <row r="6" spans="1:5" s="238" customFormat="1" ht="18" x14ac:dyDescent="0.2">
      <c r="A6" s="237" t="s">
        <v>1502</v>
      </c>
      <c r="B6" s="66"/>
      <c r="C6" s="66"/>
      <c r="D6" s="271"/>
    </row>
    <row r="7" spans="1:5" ht="18" x14ac:dyDescent="0.2">
      <c r="A7" s="235" t="str">
        <f>VLOOKUP(LEFT($A8,4),'Auto Responses'!$N$4:$O$38,2,0)&amp;""</f>
        <v xml:space="preserve"> General Information</v>
      </c>
      <c r="B7" s="64"/>
      <c r="C7" s="57" t="str">
        <f>Questions!$S$2</f>
        <v>Reason for Question</v>
      </c>
      <c r="D7" s="57" t="str">
        <f>Questions!$T$2</f>
        <v>Follow-Up Inquiries/Responses</v>
      </c>
    </row>
    <row r="8" spans="1:5" x14ac:dyDescent="0.2">
      <c r="A8" s="58" t="s">
        <v>21</v>
      </c>
      <c r="B8" s="58" t="str">
        <f>VLOOKUP($A8,Questions!$A$3:$X$333,2,0)&amp;""</f>
        <v>Solution Provider Name</v>
      </c>
      <c r="C8" s="58" t="str">
        <f>VLOOKUP($A8,Questions!$A$3:$X$333,19,0)&amp;""</f>
        <v/>
      </c>
      <c r="D8" s="58" t="str">
        <f>VLOOKUP($A8,Questions!$A$3:$X$333,20,0)&amp;""</f>
        <v/>
      </c>
    </row>
    <row r="9" spans="1:5" x14ac:dyDescent="0.2">
      <c r="A9" s="58" t="s">
        <v>24</v>
      </c>
      <c r="B9" s="58" t="str">
        <f>VLOOKUP($A9,Questions!$A$3:$X$333,2,0)&amp;""</f>
        <v>Solution Name</v>
      </c>
      <c r="C9" s="58" t="str">
        <f>VLOOKUP($A9,Questions!$A$3:$X$333,19,0)&amp;""</f>
        <v/>
      </c>
      <c r="D9" s="58" t="str">
        <f>VLOOKUP($A9,Questions!$A$3:$X$333,20,0)&amp;""</f>
        <v/>
      </c>
    </row>
    <row r="10" spans="1:5" x14ac:dyDescent="0.2">
      <c r="A10" s="58" t="s">
        <v>25</v>
      </c>
      <c r="B10" s="58" t="str">
        <f>VLOOKUP($A10,Questions!$A$3:$X$333,2,0)&amp;""</f>
        <v>Solution Description</v>
      </c>
      <c r="C10" s="58" t="str">
        <f>VLOOKUP($A10,Questions!$A$3:$X$333,19,0)&amp;""</f>
        <v/>
      </c>
      <c r="D10" s="58" t="str">
        <f>VLOOKUP($A10,Questions!$A$3:$X$333,20,0)&amp;""</f>
        <v/>
      </c>
    </row>
    <row r="11" spans="1:5" x14ac:dyDescent="0.2">
      <c r="A11" s="58" t="s">
        <v>26</v>
      </c>
      <c r="B11" s="58" t="str">
        <f>VLOOKUP($A11,Questions!$A$3:$X$333,2,0)&amp;""</f>
        <v>Solution Provider Contact Name</v>
      </c>
      <c r="C11" s="58" t="str">
        <f>VLOOKUP($A11,Questions!$A$3:$X$333,19,0)&amp;""</f>
        <v/>
      </c>
      <c r="D11" s="58" t="str">
        <f>VLOOKUP($A11,Questions!$A$3:$X$333,20,0)&amp;""</f>
        <v/>
      </c>
    </row>
    <row r="12" spans="1:5" x14ac:dyDescent="0.2">
      <c r="A12" s="58" t="s">
        <v>27</v>
      </c>
      <c r="B12" s="58" t="str">
        <f>VLOOKUP($A12,Questions!$A$3:$X$333,2,0)&amp;""</f>
        <v>Solution Provider Contact Title</v>
      </c>
      <c r="C12" s="58" t="str">
        <f>VLOOKUP($A12,Questions!$A$3:$X$333,19,0)&amp;""</f>
        <v/>
      </c>
      <c r="D12" s="58" t="str">
        <f>VLOOKUP($A12,Questions!$A$3:$X$333,20,0)&amp;""</f>
        <v/>
      </c>
    </row>
    <row r="13" spans="1:5" x14ac:dyDescent="0.2">
      <c r="A13" s="58" t="s">
        <v>28</v>
      </c>
      <c r="B13" s="58" t="str">
        <f>VLOOKUP($A13,Questions!$A$3:$X$333,2,0)&amp;""</f>
        <v>Solution Provider Contact Email</v>
      </c>
      <c r="C13" s="58" t="str">
        <f>VLOOKUP($A13,Questions!$A$3:$X$333,19,0)&amp;""</f>
        <v/>
      </c>
      <c r="D13" s="58" t="str">
        <f>VLOOKUP($A13,Questions!$A$3:$X$333,20,0)&amp;""</f>
        <v/>
      </c>
    </row>
    <row r="14" spans="1:5" x14ac:dyDescent="0.2">
      <c r="A14" s="58" t="s">
        <v>29</v>
      </c>
      <c r="B14" s="58" t="str">
        <f>VLOOKUP($A14,Questions!$A$3:$X$333,2,0)&amp;""</f>
        <v>Solution Provider Contact Phone Number</v>
      </c>
      <c r="C14" s="58" t="str">
        <f>VLOOKUP($A14,Questions!$A$3:$X$333,19,0)&amp;""</f>
        <v/>
      </c>
      <c r="D14" s="58" t="str">
        <f>VLOOKUP($A14,Questions!$A$3:$X$333,20,0)&amp;""</f>
        <v/>
      </c>
    </row>
    <row r="15" spans="1:5" x14ac:dyDescent="0.2">
      <c r="A15" s="58" t="s">
        <v>30</v>
      </c>
      <c r="B15" s="58" t="str">
        <f>VLOOKUP($A15,Questions!$A$3:$X$333,2,0)&amp;""</f>
        <v>Country of Company Headquarters</v>
      </c>
      <c r="C15" s="58" t="str">
        <f>VLOOKUP($A15,Questions!$A$3:$X$333,19,0)&amp;""</f>
        <v/>
      </c>
      <c r="D15" s="58" t="str">
        <f>VLOOKUP($A15,Questions!$A$3:$X$333,20,0)&amp;""</f>
        <v/>
      </c>
    </row>
    <row r="16" spans="1:5" x14ac:dyDescent="0.2">
      <c r="A16" s="58" t="s">
        <v>32</v>
      </c>
      <c r="B16" s="58" t="str">
        <f>VLOOKUP($A16,Questions!$A$3:$X$333,2,0)&amp;""</f>
        <v>Employee Work Locations (all)</v>
      </c>
      <c r="C16" s="58" t="str">
        <f>VLOOKUP($A16,Questions!$A$3:$X$333,19,0)&amp;""</f>
        <v>Determines where solution provider employees will be physically located.</v>
      </c>
      <c r="D16" s="58" t="str">
        <f>VLOOKUP($A16,Questions!$A$3:$X$333,20,0)&amp;""</f>
        <v>Follow-up inquiries will be institution/implementation specific.</v>
      </c>
      <c r="E16" s="242" t="s">
        <v>1510</v>
      </c>
    </row>
    <row r="17" spans="1:5" ht="18" x14ac:dyDescent="0.2">
      <c r="A17" s="64" t="str">
        <f>VLOOKUP(LEFT($A18,4),'Auto Responses'!$N$4:$O$38,2,0)&amp;""</f>
        <v xml:space="preserve"> Company Information</v>
      </c>
      <c r="B17" s="64"/>
      <c r="C17" s="57" t="str">
        <f>Questions!$S$2</f>
        <v>Reason for Question</v>
      </c>
      <c r="D17" s="57" t="str">
        <f>Questions!$T$2</f>
        <v>Follow-Up Inquiries/Responses</v>
      </c>
    </row>
    <row r="18" spans="1:5" ht="71.25" x14ac:dyDescent="0.2">
      <c r="A18" s="58" t="s">
        <v>35</v>
      </c>
      <c r="B18" s="58" t="str">
        <f>VLOOKUP($A18,Questions!$A$3:$X$333,2,0)&amp;""</f>
        <v>Do you have a dedicated software and system development team(s) (e.g., customer support, implementation, product management, etc.)?*</v>
      </c>
      <c r="C18" s="58"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8"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2">
      <c r="A19" s="58" t="s">
        <v>42</v>
      </c>
      <c r="B19" s="58" t="str">
        <f>VLOOKUP($A19,Questions!$A$3:$X$333,2,0)&amp;""</f>
        <v>Describe your organization’s business background and ownership structure, including all parent and subsidiary relationships.</v>
      </c>
      <c r="C19" s="58" t="str">
        <f>VLOOKUP($A19,Questions!$A$3:$X$333,19,0)&amp;""</f>
        <v>This information defines the scale of company (support, resources, skillsets), general information about the organization that may be concerning.</v>
      </c>
      <c r="D19" s="58" t="str">
        <f>VLOOKUP($A19,Questions!$A$3:$X$333,20,0)&amp;""</f>
        <v>Follow-up responses to this one are normally unique to their response. Vague answers here usually result in some footprinting of a solution provider to determine their "reputation."</v>
      </c>
    </row>
    <row r="20" spans="1:5" ht="67.5" customHeight="1" x14ac:dyDescent="0.2">
      <c r="A20" s="58" t="s">
        <v>44</v>
      </c>
      <c r="B20" s="58" t="str">
        <f>VLOOKUP($A20,Questions!$A$3:$X$333,2,0)&amp;""</f>
        <v>Have you operated without unplanned disruptions to this solution in the past 12 months?</v>
      </c>
      <c r="C20" s="58" t="str">
        <f>VLOOKUP($A20,Questions!$A$3:$X$333,19,0)&amp;""</f>
        <v>We want transparency from the solution provider, and an honest answer to this question, regardless of the response, is a good step in building trust.</v>
      </c>
      <c r="D20" s="58"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2">
      <c r="A21" s="58" t="s">
        <v>45</v>
      </c>
      <c r="B21" s="58" t="str">
        <f>VLOOKUP($A21,Questions!$A$3:$X$333,2,0)&amp;""</f>
        <v>Do you have a dedicated information security staff or office?</v>
      </c>
      <c r="C21" s="58"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8"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
      <c r="A22" s="58" t="s">
        <v>47</v>
      </c>
      <c r="B22" s="58" t="str">
        <f>VLOOKUP($A22,Questions!$A$3:$X$333,2,0)&amp;""</f>
        <v>Use this area to share information about your environment that will assist those who are assessing your company's data security program.</v>
      </c>
      <c r="C22" s="58"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8"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42" t="s">
        <v>1510</v>
      </c>
    </row>
    <row r="23" spans="1:5" ht="18" x14ac:dyDescent="0.2">
      <c r="A23" s="64" t="str">
        <f>VLOOKUP(LEFT($A24,4),'Auto Responses'!$N$4:$O$38,2,0)&amp;""</f>
        <v xml:space="preserve"> Required Questions</v>
      </c>
      <c r="B23" s="64"/>
      <c r="C23" s="57" t="str">
        <f>Questions!$S$2</f>
        <v>Reason for Question</v>
      </c>
      <c r="D23" s="57" t="str">
        <f>Questions!$T$2</f>
        <v>Follow-Up Inquiries/Responses</v>
      </c>
    </row>
    <row r="24" spans="1:5" s="302" customFormat="1" ht="18" x14ac:dyDescent="0.2">
      <c r="A24" s="303" t="s">
        <v>1573</v>
      </c>
      <c r="B24" s="300"/>
      <c r="C24" s="301"/>
      <c r="D24" s="301"/>
    </row>
    <row r="25" spans="1:5" ht="36.75" customHeight="1" x14ac:dyDescent="0.2">
      <c r="A25" s="58" t="s">
        <v>48</v>
      </c>
      <c r="B25" s="58" t="str">
        <f>VLOOKUP($A25,Questions!$A$3:$X$333,2,0)&amp;""</f>
        <v>Are you offering a cloud-based product?</v>
      </c>
      <c r="C25" s="58" t="s">
        <v>1538</v>
      </c>
      <c r="D25" s="58" t="str">
        <f>VLOOKUP($A25,Questions!$A$3:$X$333,19,0)&amp;""</f>
        <v/>
      </c>
    </row>
    <row r="26" spans="1:5" ht="38.25" customHeight="1" x14ac:dyDescent="0.2">
      <c r="A26" s="58" t="s">
        <v>51</v>
      </c>
      <c r="B26" s="58" t="str">
        <f>VLOOKUP($A26,Questions!$A$3:$X$333,2,0)&amp;""</f>
        <v>Does your product or service have an interface?</v>
      </c>
      <c r="C26" s="58" t="s">
        <v>1539</v>
      </c>
      <c r="D26" s="58" t="str">
        <f>VLOOKUP($A26,Questions!$A$3:$X$333,19,0)&amp;""</f>
        <v/>
      </c>
    </row>
    <row r="27" spans="1:5" x14ac:dyDescent="0.2">
      <c r="A27" s="58" t="s">
        <v>54</v>
      </c>
      <c r="B27" s="58" t="str">
        <f>VLOOKUP($A27,Questions!$A$3:$X$333,2,0)&amp;""</f>
        <v>Are you providing consulting services?</v>
      </c>
      <c r="C27" s="58" t="s">
        <v>1540</v>
      </c>
      <c r="D27" s="58" t="str">
        <f>VLOOKUP($A27,Questions!$A$3:$X$333,19,0)&amp;""</f>
        <v/>
      </c>
    </row>
    <row r="28" spans="1:5" ht="28.5" x14ac:dyDescent="0.2">
      <c r="A28" s="58" t="s">
        <v>58</v>
      </c>
      <c r="B28" s="58" t="str">
        <f>VLOOKUP($A28,Questions!$A$3:$X$333,2,0)&amp;""</f>
        <v>Does your solution have AI features, or are there plans to implement AI features in the next 12 months?</v>
      </c>
      <c r="C28" s="58" t="s">
        <v>1541</v>
      </c>
      <c r="D28" s="58" t="str">
        <f>VLOOKUP($A28,Questions!$A$3:$X$333,19,0)&amp;""</f>
        <v/>
      </c>
    </row>
    <row r="29" spans="1:5" ht="42.75" x14ac:dyDescent="0.2">
      <c r="A29" s="58" t="s">
        <v>61</v>
      </c>
      <c r="B29" s="58" t="str">
        <f>VLOOKUP($A29,Questions!$A$3:$X$333,2,0)&amp;""</f>
        <v>Does your solution process protected health information (PHI) or any data covered by the Health Insurance Portability and Accountability Act (HIPAA)?</v>
      </c>
      <c r="C29" s="58" t="s">
        <v>1542</v>
      </c>
      <c r="D29" s="58" t="str">
        <f>VLOOKUP($A29,Questions!$A$3:$X$333,19,0)&amp;""</f>
        <v/>
      </c>
    </row>
    <row r="30" spans="1:5" ht="33.75" customHeight="1" x14ac:dyDescent="0.2">
      <c r="A30" s="58" t="s">
        <v>64</v>
      </c>
      <c r="B30" s="58" t="str">
        <f>VLOOKUP($A30,Questions!$A$3:$X$333,2,0)&amp;""</f>
        <v>Is the solution designed to process, store, or transmit credit card information?</v>
      </c>
      <c r="C30" s="58" t="s">
        <v>1543</v>
      </c>
      <c r="D30" s="58" t="str">
        <f>VLOOKUP($A30,Questions!$A$3:$X$333,19,0)&amp;""</f>
        <v/>
      </c>
    </row>
    <row r="31" spans="1:5" ht="66.75" customHeight="1" x14ac:dyDescent="0.2">
      <c r="A31" s="58" t="s">
        <v>67</v>
      </c>
      <c r="B31" s="58"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8" t="s">
        <v>1544</v>
      </c>
      <c r="D31" s="58" t="str">
        <f>VLOOKUP($A31,Questions!$A$3:$X$333,19,0)&amp;""</f>
        <v/>
      </c>
      <c r="E31" s="242" t="s">
        <v>1510</v>
      </c>
    </row>
    <row r="32" spans="1:5" ht="18" x14ac:dyDescent="0.2">
      <c r="A32" s="64" t="str">
        <f>VLOOKUP(LEFT($A33,4),'Auto Responses'!$N$4:$O$38,2,0)&amp;""</f>
        <v xml:space="preserve"> Documentation</v>
      </c>
      <c r="B32" s="64"/>
      <c r="C32" s="57" t="str">
        <f>Questions!$S$2</f>
        <v>Reason for Question</v>
      </c>
      <c r="D32" s="57" t="str">
        <f>Questions!$T$2</f>
        <v>Follow-Up Inquiries/Responses</v>
      </c>
    </row>
    <row r="33" spans="1:5" ht="42" customHeight="1" x14ac:dyDescent="0.2">
      <c r="A33" s="58" t="s">
        <v>70</v>
      </c>
      <c r="B33" s="58" t="str">
        <f>VLOOKUP($A33,Questions!$A$3:$X$333,2,0)&amp;""</f>
        <v>Do you have a well-documented business continuity plan (BCP), with a clear owner, that is tested annually?*</v>
      </c>
      <c r="C33" s="58" t="str">
        <f>VLOOKUP($A33,Questions!$A$3:$X$333,19,0)&amp;""</f>
        <v/>
      </c>
      <c r="D33" s="58" t="str">
        <f>VLOOKUP($A33,Questions!$A$3:$X$333,20,0)&amp;""</f>
        <v/>
      </c>
    </row>
    <row r="34" spans="1:5" ht="38.25" customHeight="1" x14ac:dyDescent="0.2">
      <c r="A34" s="58" t="s">
        <v>76</v>
      </c>
      <c r="B34" s="58" t="str">
        <f>VLOOKUP($A34,Questions!$A$3:$X$333,2,0)&amp;""</f>
        <v>Do you have a well-documented disaster recovery plan (DRP), with a clear owner, that is tested annually?*</v>
      </c>
      <c r="C34" s="58" t="str">
        <f>VLOOKUP($A34,Questions!$A$3:$X$333,19,0)&amp;""</f>
        <v/>
      </c>
      <c r="D34" s="58" t="str">
        <f>VLOOKUP($A34,Questions!$A$3:$X$333,20,0)&amp;""</f>
        <v/>
      </c>
    </row>
    <row r="35" spans="1:5" ht="35.25" customHeight="1" x14ac:dyDescent="0.2">
      <c r="A35" s="58" t="s">
        <v>77</v>
      </c>
      <c r="B35" s="58" t="str">
        <f>VLOOKUP($A35,Questions!$A$3:$X$333,2,0)&amp;""</f>
        <v>Have you undergone a SSAE 18/SOC 2 audit?</v>
      </c>
      <c r="C35" s="58" t="str">
        <f>VLOOKUP($A35,Questions!$A$3:$X$333,19,0)&amp;""</f>
        <v>SSAE 18 and SOC2 audits are standard documentation, relevant to institutions requiring a solution provider to undergo SSAE 18 audits.</v>
      </c>
      <c r="D35" s="58" t="str">
        <f>VLOOKUP($A35,Questions!$A$3:$X$333,20,0)&amp;""</f>
        <v>Follow-up inquiries for SSAE 18 content will be institution/implementation specific.</v>
      </c>
    </row>
    <row r="36" spans="1:5" ht="57" x14ac:dyDescent="0.2">
      <c r="A36" s="58" t="s">
        <v>80</v>
      </c>
      <c r="B36" s="58" t="str">
        <f>VLOOKUP($A36,Questions!$A$3:$X$333,2,0)&amp;""</f>
        <v>Do you conform with a specific industry standard security framework (e.g., NIST Cybersecurity Framework, CIS Controls, ISO 27001, etc.)?</v>
      </c>
      <c r="C36" s="58" t="str">
        <f>VLOOKUP($A36,Questions!$A$3:$X$333,19,0)&amp;""</f>
        <v>The details of the standard are not the focus here; it is the fact that a solution provider builds their environment around a standard and that they continually evaluate and assess their security programs.</v>
      </c>
      <c r="D36" s="58"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
      <c r="A37" s="58" t="s">
        <v>84</v>
      </c>
      <c r="B37" s="58" t="str">
        <f>VLOOKUP($A37,Questions!$A$3:$X$333,2,0)&amp;""</f>
        <v>Can you provide overall system and/or application architecture diagrams, including a full description of the data flow for all components of the system?</v>
      </c>
      <c r="C37" s="58"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8"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2">
      <c r="A38" s="58" t="s">
        <v>88</v>
      </c>
      <c r="B38" s="58" t="str">
        <f>VLOOKUP($A38,Questions!$A$3:$X$333,2,0)&amp;""</f>
        <v>Does your organization have a data privacy policy?</v>
      </c>
      <c r="C38" s="58"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8"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
      <c r="A39" s="58" t="s">
        <v>92</v>
      </c>
      <c r="B39" s="58" t="str">
        <f>VLOOKUP($A39,Questions!$A$3:$X$333,2,0)&amp;""</f>
        <v>Do you have a documented, and currently implemented, employee onboarding and offboarding policy?</v>
      </c>
      <c r="C39" s="58"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8" t="str">
        <f>VLOOKUP($A39,Questions!$A$3:$X$333,20,0)&amp;""</f>
        <v>Unsatisfactory answers should be met with questions about access control authority, roles and responsibilities (of access grantors), administrative privileges within the solution provider's infrastructure(s), etc.</v>
      </c>
      <c r="E39" s="242" t="s">
        <v>1510</v>
      </c>
    </row>
    <row r="40" spans="1:5" ht="18" x14ac:dyDescent="0.2">
      <c r="A40" s="64" t="str">
        <f>VLOOKUP(LEFT($A41,4),'Auto Responses'!$N$4:$O$38,2,0)&amp;""</f>
        <v xml:space="preserve"> IT Accessibility</v>
      </c>
      <c r="B40" s="64"/>
      <c r="C40" s="57" t="str">
        <f>Questions!$S$2</f>
        <v>Reason for Question</v>
      </c>
      <c r="D40" s="57" t="str">
        <f>Questions!$T$2</f>
        <v>Follow-Up Inquiries/Responses</v>
      </c>
    </row>
    <row r="41" spans="1:5" x14ac:dyDescent="0.2">
      <c r="A41" s="58" t="s">
        <v>93</v>
      </c>
      <c r="B41" s="58" t="str">
        <f>VLOOKUP($A41,Questions!$A$3:$X$333,2,0)&amp;""</f>
        <v>Solution Provider Accessibility Contact Name</v>
      </c>
      <c r="C41" s="58" t="str">
        <f>VLOOKUP($A41,Questions!$A$3:$X$333,19,0)&amp;""</f>
        <v/>
      </c>
      <c r="D41" s="58" t="str">
        <f>VLOOKUP($A41,Questions!$A$3:$X$333,20,0)&amp;""</f>
        <v/>
      </c>
    </row>
    <row r="42" spans="1:5" x14ac:dyDescent="0.2">
      <c r="A42" s="58" t="s">
        <v>94</v>
      </c>
      <c r="B42" s="58" t="str">
        <f>VLOOKUP($A42,Questions!$A$3:$X$333,2,0)&amp;""</f>
        <v>Solution Provider Accessibility Contact Title</v>
      </c>
      <c r="C42" s="58" t="str">
        <f>VLOOKUP($A42,Questions!$A$3:$X$333,19,0)&amp;""</f>
        <v/>
      </c>
      <c r="D42" s="58" t="str">
        <f>VLOOKUP($A42,Questions!$A$3:$X$333,20,0)&amp;""</f>
        <v/>
      </c>
    </row>
    <row r="43" spans="1:5" x14ac:dyDescent="0.2">
      <c r="A43" s="58" t="s">
        <v>95</v>
      </c>
      <c r="B43" s="58" t="str">
        <f>VLOOKUP($A43,Questions!$A$3:$X$333,2,0)&amp;""</f>
        <v>Solution Provider Accessibility Contact Email</v>
      </c>
      <c r="C43" s="58" t="str">
        <f>VLOOKUP($A43,Questions!$A$3:$X$333,19,0)&amp;""</f>
        <v/>
      </c>
      <c r="D43" s="58" t="str">
        <f>VLOOKUP($A43,Questions!$A$3:$X$333,20,0)&amp;""</f>
        <v/>
      </c>
    </row>
    <row r="44" spans="1:5" x14ac:dyDescent="0.2">
      <c r="A44" s="58" t="s">
        <v>96</v>
      </c>
      <c r="B44" s="58" t="str">
        <f>VLOOKUP($A44,Questions!$A$3:$X$333,2,0)&amp;""</f>
        <v>Solution Provider Accessibility Contact Phone Number</v>
      </c>
      <c r="C44" s="58" t="str">
        <f>VLOOKUP($A44,Questions!$A$3:$X$333,19,0)&amp;""</f>
        <v/>
      </c>
      <c r="D44" s="58" t="str">
        <f>VLOOKUP($A44,Questions!$A$3:$X$333,20,0)&amp;""</f>
        <v/>
      </c>
    </row>
    <row r="45" spans="1:5" x14ac:dyDescent="0.2">
      <c r="A45" s="58" t="s">
        <v>97</v>
      </c>
      <c r="B45" s="58" t="str">
        <f>VLOOKUP($A45,Questions!$A$3:$X$333,2,0)&amp;""</f>
        <v>Web Link to Accessibility Statement or VPAT</v>
      </c>
      <c r="C45" s="58" t="str">
        <f>VLOOKUP($A45,Questions!$A$3:$X$333,19,0)&amp;""</f>
        <v/>
      </c>
      <c r="D45" s="58" t="str">
        <f>VLOOKUP($A45,Questions!$A$3:$X$333,20,0)&amp;""</f>
        <v/>
      </c>
    </row>
    <row r="46" spans="1:5" ht="85.5" x14ac:dyDescent="0.2">
      <c r="A46" s="58" t="s">
        <v>101</v>
      </c>
      <c r="B46" s="58" t="str">
        <f>VLOOKUP($A46,Questions!$A$3:$X$333,2,0)&amp;""</f>
        <v>Has a VPAT or ACR been created or updated for the solution and version under consideration within the past 12 months?*</v>
      </c>
      <c r="C46" s="58"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58" t="str">
        <f>VLOOKUP($A46,Questions!$A$3:$X$333,20,0)&amp;""</f>
        <v>Cross-reference Accessibility Conformance Reports (ACR) with any answers from ITAC-14 about product roadmaps for accessibility improvements.</v>
      </c>
    </row>
    <row r="47" spans="1:5" ht="55.5" customHeight="1" x14ac:dyDescent="0.2">
      <c r="A47" s="58" t="s">
        <v>103</v>
      </c>
      <c r="B47" s="58" t="str">
        <f>VLOOKUP($A47,Questions!$A$3:$X$333,2,0)&amp;""</f>
        <v>Will your company agree to meet your stated accessibility standard or WCAG 2.1 AA as part of your contractual agreement for the solution?*</v>
      </c>
      <c r="C47" s="58" t="str">
        <f>VLOOKUP($A47,Questions!$A$3:$X$333,19,0)&amp;""</f>
        <v xml:space="preserve">Federal regulation requires that technology products conform to WCAG 2.1 AA. Technology platforms that do not substantially conform to this standard put schools at risk of not complying with these requirements. </v>
      </c>
      <c r="D47" s="58" t="str">
        <f>VLOOKUP($A47,Questions!$A$3:$X$333,20,0)&amp;""</f>
        <v/>
      </c>
    </row>
    <row r="48" spans="1:5" ht="70.5" customHeight="1" x14ac:dyDescent="0.2">
      <c r="A48" s="58" t="s">
        <v>106</v>
      </c>
      <c r="B48" s="58" t="str">
        <f>VLOOKUP($A48,Questions!$A$3:$X$333,2,0)&amp;""</f>
        <v>Does the solution substantially conform to WCAG 2.1 AA?*</v>
      </c>
      <c r="C48" s="58" t="str">
        <f>VLOOKUP($A48,Questions!$A$3:$X$333,19,0)&amp;""</f>
        <v xml:space="preserve">Federal regulation requires that technology products conform to WCAG 2.1 AA. Technology platforms that do not substantially conform to this standard put schools at risk of not complying with these requirements. </v>
      </c>
      <c r="D48" s="58" t="str">
        <f>VLOOKUP($A48,Questions!$A$3:$X$333,20,0)&amp;""</f>
        <v/>
      </c>
    </row>
    <row r="49" spans="1:5" ht="36" customHeight="1" x14ac:dyDescent="0.2">
      <c r="A49" s="58" t="s">
        <v>108</v>
      </c>
      <c r="B49" s="58" t="str">
        <f>VLOOKUP($A49,Questions!$A$3:$X$333,2,0)&amp;""</f>
        <v>Do you have a documented and implemented process for reporting and tracking accessibility issues?*</v>
      </c>
      <c r="C49" s="58" t="str">
        <f>VLOOKUP($A49,Questions!$A$3:$X$333,19,0)&amp;""</f>
        <v/>
      </c>
      <c r="D49" s="58" t="str">
        <f>VLOOKUP($A49,Questions!$A$3:$X$333,20,0)&amp;""</f>
        <v>What is the prioritization of accessibility issues received, and how are they tracked? Is there a regular cadence for tracking and addressing accessibility barriers?</v>
      </c>
    </row>
    <row r="50" spans="1:5" ht="78.75" customHeight="1" x14ac:dyDescent="0.2">
      <c r="A50" s="58" t="s">
        <v>111</v>
      </c>
      <c r="B50" s="58" t="str">
        <f>VLOOKUP($A50,Questions!$A$3:$X$333,2,0)&amp;""</f>
        <v>Do you have documentation to support the accessibility features of your solution?</v>
      </c>
      <c r="C50" s="58"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58"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2">
      <c r="A51" s="58" t="s">
        <v>112</v>
      </c>
      <c r="B51" s="58" t="str">
        <f>VLOOKUP($A51,Questions!$A$3:$X$333,2,0)&amp;""</f>
        <v>Has a third-party expert conducted an audit of the most recent version of your solution?</v>
      </c>
      <c r="C51" s="58"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58" t="str">
        <f>VLOOKUP($A51,Questions!$A$3:$X$333,20,0)&amp;""</f>
        <v/>
      </c>
    </row>
    <row r="52" spans="1:5" ht="109.5" customHeight="1" x14ac:dyDescent="0.2">
      <c r="A52" s="58" t="s">
        <v>113</v>
      </c>
      <c r="B52" s="58" t="str">
        <f>VLOOKUP($A52,Questions!$A$3:$X$333,2,0)&amp;""</f>
        <v>Do you have a documented and implemented process for verifying accessibility conformance?</v>
      </c>
      <c r="C52" s="58"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58" t="str">
        <f>VLOOKUP($A52,Questions!$A$3:$X$333,20,0)&amp;""</f>
        <v/>
      </c>
    </row>
    <row r="53" spans="1:5" ht="65.25" customHeight="1" x14ac:dyDescent="0.2">
      <c r="A53" s="58" t="s">
        <v>114</v>
      </c>
      <c r="B53" s="58" t="str">
        <f>VLOOKUP($A53,Questions!$A$3:$X$333,2,0)&amp;""</f>
        <v>Have you adopted a technical or legal standard of conformance for the solution?</v>
      </c>
      <c r="C53" s="58"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58" t="str">
        <f>VLOOKUP($A53,Questions!$A$3:$X$333,20,0)&amp;""</f>
        <v/>
      </c>
    </row>
    <row r="54" spans="1:5" ht="63.75" customHeight="1" x14ac:dyDescent="0.2">
      <c r="A54" s="58" t="s">
        <v>116</v>
      </c>
      <c r="B54" s="58" t="str">
        <f>VLOOKUP($A54,Questions!$A$3:$X$333,2,0)&amp;""</f>
        <v>Can you provide a current, detailed accessibility roadmap with delivery timelines?</v>
      </c>
      <c r="C54" s="58"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58"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2">
      <c r="A55" s="58" t="s">
        <v>120</v>
      </c>
      <c r="B55" s="58" t="str">
        <f>VLOOKUP($A55,Questions!$A$3:$X$333,2,0)&amp;""</f>
        <v>Do you expect your staff to maintain a current skill set in IT accessibility?</v>
      </c>
      <c r="C55" s="58"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58" t="str">
        <f>VLOOKUP($A55,Questions!$A$3:$X$333,20,0)&amp;""</f>
        <v/>
      </c>
    </row>
    <row r="56" spans="1:5" ht="51" customHeight="1" x14ac:dyDescent="0.2">
      <c r="A56" s="58" t="s">
        <v>123</v>
      </c>
      <c r="B56" s="58" t="str">
        <f>VLOOKUP($A56,Questions!$A$3:$X$333,2,0)&amp;""</f>
        <v>Do you have documented processes and procedures for implementing accessibility into your development lifecycle?</v>
      </c>
      <c r="C56" s="58"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58" t="str">
        <f>VLOOKUP($A56,Questions!$A$3:$X$333,20,0)&amp;""</f>
        <v/>
      </c>
    </row>
    <row r="57" spans="1:5" ht="52.5" customHeight="1" x14ac:dyDescent="0.2">
      <c r="A57" s="58" t="s">
        <v>126</v>
      </c>
      <c r="B57" s="58" t="str">
        <f>VLOOKUP($A57,Questions!$A$3:$X$333,2,0)&amp;""</f>
        <v>Can all functions of the application or service be performed using only the keyboard?</v>
      </c>
      <c r="C57" s="58" t="str">
        <f>VLOOKUP($A57,Questions!$A$3:$X$333,19,0)&amp;""</f>
        <v>One critical accessibility requirement is the full use of a product using only the keyboard, -no mouse or trackpad. This requirement is easy for a nontechnical or non-accessibility expert to understand and verify.</v>
      </c>
      <c r="D57" s="58"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71.25" x14ac:dyDescent="0.2">
      <c r="A58" s="58" t="s">
        <v>129</v>
      </c>
      <c r="B58" s="58" t="str">
        <f>VLOOKUP($A58,Questions!$A$3:$X$333,2,0)&amp;""</f>
        <v>Does your product rely on activating a special "accessibility mode," a "lite version," or using an alternate interface (including “overlay” or AI-based alternates)  for accessibility purposes?</v>
      </c>
      <c r="C58" s="58"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58" t="str">
        <f>VLOOKUP($A58,Questions!$A$3:$X$333,20,0)&amp;""</f>
        <v/>
      </c>
      <c r="E58" s="242" t="s">
        <v>1510</v>
      </c>
    </row>
    <row r="59" spans="1:5" ht="18" x14ac:dyDescent="0.2">
      <c r="A59" s="64" t="str">
        <f>VLOOKUP(LEFT($A60,4),'Auto Responses'!$N$4:$O$38,2,0)&amp;""</f>
        <v xml:space="preserve"> Assessment of Third Parties</v>
      </c>
      <c r="B59" s="64"/>
      <c r="C59" s="57" t="str">
        <f>Questions!$S$2</f>
        <v>Reason for Question</v>
      </c>
      <c r="D59" s="57" t="str">
        <f>Questions!$T$2</f>
        <v>Follow-Up Inquiries/Responses</v>
      </c>
    </row>
    <row r="60" spans="1:5" ht="65.25" customHeight="1" x14ac:dyDescent="0.2">
      <c r="A60" s="58" t="s">
        <v>130</v>
      </c>
      <c r="B60" s="58" t="str">
        <f>VLOOKUP($A60,Questions!$A$3:$X$333,2,0)&amp;""</f>
        <v>Do you perform security assessments of third-party companies with which you share data (e.g., hosting providers, cloud services, PaaS, IaaS, SaaS)?*</v>
      </c>
      <c r="C60" s="58"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58"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2">
      <c r="A61" s="58" t="s">
        <v>134</v>
      </c>
      <c r="B61" s="58" t="str">
        <f>VLOOKUP($A61,Questions!$A$3:$X$333,2,0)&amp;""</f>
        <v>Do you have contractual language in place with third parties governing access to institutional data?*</v>
      </c>
      <c r="C61" s="58" t="str">
        <f>VLOOKUP($A61,Questions!$A$3:$X$333,19,0)&amp;""</f>
        <v>The sharing of institutional data to fourth-parties may increase the risk to the institutation and thus, we want to know who gets what data, when they get that data, and why they get that data.</v>
      </c>
      <c r="D61" s="58" t="str">
        <f>VLOOKUP($A61,Questions!$A$3:$X$333,20,0)&amp;""</f>
        <v>Follow-up inquiries concerning third-party data sharing will be institution/implementation specific.</v>
      </c>
    </row>
    <row r="62" spans="1:5" ht="36" customHeight="1" x14ac:dyDescent="0.2">
      <c r="A62" s="58" t="s">
        <v>137</v>
      </c>
      <c r="B62" s="58" t="str">
        <f>VLOOKUP($A62,Questions!$A$3:$X$333,2,0)&amp;""</f>
        <v>Do the contracts in place with these third parties address liability in the event of a data breach?*</v>
      </c>
      <c r="C62" s="58" t="str">
        <f>VLOOKUP($A62,Questions!$A$3:$X$333,19,0)&amp;""</f>
        <v>Knowing the protections and legal agreements in place for third-party data sharing may assist analysts in determininng residual risk.</v>
      </c>
      <c r="D62" s="58" t="str">
        <f>VLOOKUP($A62,Questions!$A$3:$X$333,20,0)&amp;""</f>
        <v>Follow-up inquiries concerning legal agreements with third parties will be institution/implementation specific.</v>
      </c>
    </row>
    <row r="63" spans="1:5" ht="131.25" customHeight="1" x14ac:dyDescent="0.2">
      <c r="A63" s="58" t="s">
        <v>138</v>
      </c>
      <c r="B63" s="58" t="str">
        <f>VLOOKUP($A63,Questions!$A$3:$X$333,2,0)&amp;""</f>
        <v>Do you have an implemented third-party management strategy?*</v>
      </c>
      <c r="C63" s="58"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58"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2">
      <c r="A64" s="58" t="s">
        <v>141</v>
      </c>
      <c r="B64" s="58" t="str">
        <f>VLOOKUP($A64,Questions!$A$3:$X$333,2,0)&amp;""</f>
        <v>Do you have a process and implemented procedures for managing your hardware supply chain (e.g., telecommunications equipment, export licensing, computing devices)?</v>
      </c>
      <c r="C64" s="58"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58" t="str">
        <f>VLOOKUP($A64,Questions!$A$3:$X$333,20,0)&amp;""</f>
        <v>Follow-up inquiries concerning hardware supply chain will be institution/implementation specific.</v>
      </c>
      <c r="E64" s="242" t="s">
        <v>1510</v>
      </c>
    </row>
    <row r="65" spans="1:5" ht="18" x14ac:dyDescent="0.2">
      <c r="A65" s="64" t="str">
        <f>VLOOKUP(LEFT($A66,4),'Auto Responses'!$N$4:$O$38,2,0)&amp;""</f>
        <v xml:space="preserve"> Consulting Services</v>
      </c>
      <c r="B65" s="64"/>
      <c r="C65" s="57" t="str">
        <f>Questions!$S$2</f>
        <v>Reason for Question</v>
      </c>
      <c r="D65" s="57" t="str">
        <f>Questions!$T$2</f>
        <v>Follow-Up Inquiries/Responses</v>
      </c>
    </row>
    <row r="66" spans="1:5" ht="65.25" customHeight="1" x14ac:dyDescent="0.2">
      <c r="A66" s="58" t="s">
        <v>146</v>
      </c>
      <c r="B66" s="58" t="str">
        <f>VLOOKUP($A66,Questions!$A$3:$X$333,2,0)&amp;""</f>
        <v>Will the consultant require access to the institution's network resources?*</v>
      </c>
      <c r="C66" s="58"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58" t="str">
        <f>VLOOKUP($A66,Questions!$A$3:$X$333,20,0)&amp;""</f>
        <v>Follow-up inquiries will be institution/implementation specific.</v>
      </c>
    </row>
    <row r="67" spans="1:5" ht="66.75" customHeight="1" x14ac:dyDescent="0.2">
      <c r="A67" s="58" t="s">
        <v>150</v>
      </c>
      <c r="B67" s="58" t="str">
        <f>VLOOKUP($A67,Questions!$A$3:$X$333,2,0)&amp;""</f>
        <v>Has the consultant received training on (sensitive, HIPAA, PCI, etc.) data handling?*</v>
      </c>
      <c r="C67" s="58"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58" t="str">
        <f>VLOOKUP($A67,Questions!$A$3:$X$333,20,0)&amp;""</f>
        <v>Follow-up inquiries will be institution/implementation specific.</v>
      </c>
    </row>
    <row r="68" spans="1:5" ht="68.25" customHeight="1" x14ac:dyDescent="0.2">
      <c r="A68" s="58" t="s">
        <v>151</v>
      </c>
      <c r="B68" s="58" t="str">
        <f>VLOOKUP($A68,Questions!$A$3:$X$333,2,0)&amp;""</f>
        <v>Is the data encrypted (at rest) while in the consultant's possession?*</v>
      </c>
      <c r="C68" s="58"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58" t="str">
        <f>VLOOKUP($A68,Questions!$A$3:$X$333,20,0)&amp;""</f>
        <v>Follow-up inquiries will be institution/implementation specific.</v>
      </c>
    </row>
    <row r="69" spans="1:5" ht="65.25" customHeight="1" x14ac:dyDescent="0.2">
      <c r="A69" s="58" t="s">
        <v>153</v>
      </c>
      <c r="B69" s="58" t="str">
        <f>VLOOKUP($A69,Questions!$A$3:$X$333,2,0)&amp;""</f>
        <v>Can access be restricted based on source IP address?*</v>
      </c>
      <c r="C69" s="58"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58" t="str">
        <f>VLOOKUP($A69,Questions!$A$3:$X$333,20,0)&amp;""</f>
        <v>Follow-up inquiries will be institution/implementation specific.</v>
      </c>
    </row>
    <row r="70" spans="1:5" ht="71.25" customHeight="1" x14ac:dyDescent="0.2">
      <c r="A70" s="58" t="s">
        <v>155</v>
      </c>
      <c r="B70" s="58" t="str">
        <f>VLOOKUP($A70,Questions!$A$3:$X$333,2,0)&amp;""</f>
        <v>Will the consulting take place on-premises?</v>
      </c>
      <c r="C70" s="58"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58" t="str">
        <f>VLOOKUP($A70,Questions!$A$3:$X$333,20,0)&amp;""</f>
        <v>Follow-up inquiries will be institution/implementation specific.</v>
      </c>
    </row>
    <row r="71" spans="1:5" ht="71.25" customHeight="1" x14ac:dyDescent="0.2">
      <c r="A71" s="58" t="s">
        <v>156</v>
      </c>
      <c r="B71" s="58" t="str">
        <f>VLOOKUP($A71,Questions!$A$3:$X$333,2,0)&amp;""</f>
        <v>Will the consultant require access to hardware in the institution's data centers?</v>
      </c>
      <c r="C71" s="58"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58" t="str">
        <f>VLOOKUP($A71,Questions!$A$3:$X$333,20,0)&amp;""</f>
        <v>Follow-up inquiries will be institution/implementation specific.</v>
      </c>
    </row>
    <row r="72" spans="1:5" s="60" customFormat="1" ht="67.5" customHeight="1" x14ac:dyDescent="0.2">
      <c r="A72" s="58" t="s">
        <v>158</v>
      </c>
      <c r="B72" s="58" t="str">
        <f>VLOOKUP($A72,Questions!$A$3:$X$333,2,0)&amp;""</f>
        <v>Will the consultant require an account within the institution's domain (@*.edu)?</v>
      </c>
      <c r="C72" s="58"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58" t="str">
        <f>VLOOKUP($A72,Questions!$A$3:$X$333,20,0)&amp;""</f>
        <v>Follow-up inquiries will be institution/implementation specific.</v>
      </c>
    </row>
    <row r="73" spans="1:5" ht="69" customHeight="1" x14ac:dyDescent="0.2">
      <c r="A73" s="58" t="s">
        <v>159</v>
      </c>
      <c r="B73" s="58" t="str">
        <f>VLOOKUP($A73,Questions!$A$3:$X$333,2,0)&amp;""</f>
        <v>Will any data be transferred to the consultant's possession?</v>
      </c>
      <c r="C73" s="58"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58" t="str">
        <f>VLOOKUP($A73,Questions!$A$3:$X$333,20,0)&amp;""</f>
        <v>Follow-up inquiries will be institution/implementation specific.</v>
      </c>
    </row>
    <row r="74" spans="1:5" s="60" customFormat="1" ht="70.5" customHeight="1" x14ac:dyDescent="0.2">
      <c r="A74" s="58" t="s">
        <v>161</v>
      </c>
      <c r="B74" s="58" t="str">
        <f>VLOOKUP($A74,Questions!$A$3:$X$333,2,0)&amp;""</f>
        <v>Will the consultant need remote access to the institution's network or systems?</v>
      </c>
      <c r="C74" s="58"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58" t="str">
        <f>VLOOKUP($A74,Questions!$A$3:$X$333,20,0)&amp;""</f>
        <v>Follow-up inquiries will be institution/implementation specific.</v>
      </c>
      <c r="E74" s="242" t="s">
        <v>1510</v>
      </c>
    </row>
    <row r="75" spans="1:5" ht="18" x14ac:dyDescent="0.2">
      <c r="A75" s="64" t="str">
        <f>VLOOKUP(LEFT($A76,4),'Auto Responses'!$N$4:$O$38,2,0)&amp;""</f>
        <v xml:space="preserve"> Application/Service Security</v>
      </c>
      <c r="B75" s="64"/>
      <c r="C75" s="57" t="str">
        <f>Questions!$S$2</f>
        <v>Reason for Question</v>
      </c>
      <c r="D75" s="57" t="str">
        <f>Questions!$T$2</f>
        <v>Follow-Up Inquiries/Responses</v>
      </c>
    </row>
    <row r="76" spans="1:5" ht="79.5" customHeight="1" x14ac:dyDescent="0.2">
      <c r="A76" s="65" t="s">
        <v>162</v>
      </c>
      <c r="B76" s="58" t="str">
        <f>VLOOKUP($A76,Questions!$A$3:$X$333,2,0)&amp;""</f>
        <v>Are access controls for institutional accounts based on structured rules, such as role-based access control (RBAC), attribute-based access control (ABAC), or policy-based access control (PBAC)?*</v>
      </c>
      <c r="C76" s="58"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58"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2">
      <c r="A77" s="58" t="s">
        <v>167</v>
      </c>
      <c r="B77" s="58" t="str">
        <f>VLOOKUP($A77,Questions!$A$3:$X$333,2,0)&amp;""</f>
        <v>Are you using a web application firewall (WAF)?*</v>
      </c>
      <c r="C77" s="58"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58"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2">
      <c r="A78" s="58" t="s">
        <v>171</v>
      </c>
      <c r="B78" s="58" t="str">
        <f>VLOOKUP($A78,Questions!$A$3:$X$333,2,0)&amp;""</f>
        <v>Are only currently supported operating system(s), software, and libraries leveraged by the system(s)/application(s) that will have access to institution's data?*</v>
      </c>
      <c r="C78" s="58"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58" t="str">
        <f>VLOOKUP($A78,Questions!$A$3:$X$333,20,0)&amp;""</f>
        <v>Follow-up inquiries for operating systems leveraged by the solution provider will be institution/implementation specific.</v>
      </c>
    </row>
    <row r="79" spans="1:5" ht="45.75" customHeight="1" x14ac:dyDescent="0.2">
      <c r="A79" s="58" t="s">
        <v>176</v>
      </c>
      <c r="B79" s="58" t="str">
        <f>VLOOKUP($A79,Questions!$A$3:$X$333,2,0)&amp;""</f>
        <v>Does your application require access to location or GPS data?*</v>
      </c>
      <c r="C79" s="58" t="str">
        <f>VLOOKUP($A79,Questions!$A$3:$X$333,19,0)&amp;""</f>
        <v>Sharing location data significantly increases risk factors for users. It's important to understand if this is required.</v>
      </c>
      <c r="D79" s="58" t="str">
        <f>VLOOKUP($A79,Questions!$A$3:$X$333,20,0)&amp;""</f>
        <v>Ask the solution provider about the need for this requirement, and understand any mitigation strategies that may be possible.</v>
      </c>
    </row>
    <row r="80" spans="1:5" ht="85.5" customHeight="1" x14ac:dyDescent="0.2">
      <c r="A80" s="58" t="s">
        <v>179</v>
      </c>
      <c r="B80" s="58" t="str">
        <f>VLOOKUP($A80,Questions!$A$3:$X$333,2,0)&amp;""</f>
        <v>Does your application provide separation of duties between security administration, system administration, and standard user functions?*</v>
      </c>
      <c r="C80" s="58"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58"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2">
      <c r="A81" s="58" t="s">
        <v>184</v>
      </c>
      <c r="B81" s="58" t="str">
        <f>VLOOKUP($A81,Questions!$A$3:$X$333,2,0)&amp;""</f>
        <v>Do you subject your code to static code analysis and/or static application security testing prior to release?*</v>
      </c>
      <c r="C81" s="58"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58"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0" customFormat="1" ht="53.25" customHeight="1" x14ac:dyDescent="0.2">
      <c r="A82" s="58" t="s">
        <v>188</v>
      </c>
      <c r="B82" s="58" t="str">
        <f>VLOOKUP($A82,Questions!$A$3:$X$333,2,0)&amp;""</f>
        <v>Do you have software testing processes (dynamic or static) that are established and followed?*</v>
      </c>
      <c r="C82" s="58" t="str">
        <f>VLOOKUP($A82,Questions!$A$3:$X$333,19,0)&amp;""</f>
        <v>Code analysis (prior to implementation) can decrease the number of vulnerabilities within a system. Depending on the insight a solution provider has into their code, code testing should be expected.</v>
      </c>
      <c r="D82" s="58"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2">
      <c r="A83" s="58" t="s">
        <v>194</v>
      </c>
      <c r="B83" s="58" t="str">
        <f>VLOOKUP($A83,Questions!$A$3:$X$333,2,0)&amp;""</f>
        <v>Are access controls for staff within your organization based on structured rules, such as RBAC, ABAC, or PBAC?</v>
      </c>
      <c r="C83" s="58" t="str">
        <f>VLOOKUP($A83,Questions!$A$3:$X$333,19,0)&amp;""</f>
        <v>Managing a solution may rely on various professionals to administer a system. This question is focused on how administration, and the segregation of functions, is implemented within the solution provider's infrastructure.</v>
      </c>
      <c r="D83" s="58"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2">
      <c r="A84" s="58" t="s">
        <v>198</v>
      </c>
      <c r="B84" s="58" t="str">
        <f>VLOOKUP($A84,Questions!$A$3:$X$333,2,0)&amp;""</f>
        <v>Does the system provide data input validation and error messages?</v>
      </c>
      <c r="C84" s="58"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58" t="str">
        <f>VLOOKUP($A84,Questions!$A$3:$X$333,20,0)&amp;""</f>
        <v>Inquire about any planned improvements to these capabilities. Ask about their product roadmap, and try to understand how they prioritize security concerns in their environment.</v>
      </c>
    </row>
    <row r="85" spans="1:5" ht="84.75" customHeight="1" x14ac:dyDescent="0.2">
      <c r="A85" s="58" t="s">
        <v>201</v>
      </c>
      <c r="B85" s="58" t="str">
        <f>VLOOKUP($A85,Questions!$A$3:$X$333,2,0)&amp;""</f>
        <v>Do you have a process and implemented procedures for managing your software supply chain (e.g., libraries, repositories, frameworks, etc.)</v>
      </c>
      <c r="C85" s="58"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58" t="str">
        <f>VLOOKUP($A85,Questions!$A$3:$X$333,20,0)&amp;""</f>
        <v>Follow-up inquiries concerning software supply chain will be institution/implementation specific.</v>
      </c>
      <c r="E85" s="52"/>
    </row>
    <row r="86" spans="1:5" ht="67.5" customHeight="1" x14ac:dyDescent="0.2">
      <c r="A86" s="58" t="s">
        <v>205</v>
      </c>
      <c r="B86" s="58" t="str">
        <f>VLOOKUP($A86,Questions!$A$3:$X$333,2,0)&amp;""</f>
        <v>Have your developers been trained in secure coding techniques?</v>
      </c>
      <c r="C86" s="58"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58"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59"/>
    </row>
    <row r="87" spans="1:5" ht="72.75" customHeight="1" x14ac:dyDescent="0.2">
      <c r="A87" s="58" t="s">
        <v>209</v>
      </c>
      <c r="B87" s="58" t="str">
        <f>VLOOKUP($A87,Questions!$A$3:$X$333,2,0)&amp;""</f>
        <v>Was your application developed using secure coding techniques?</v>
      </c>
      <c r="C87" s="58"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58"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2">
      <c r="A88" s="58" t="s">
        <v>213</v>
      </c>
      <c r="B88" s="58" t="str">
        <f>VLOOKUP($A88,Questions!$A$3:$X$333,2,0)&amp;""</f>
        <v>If mobile, is the application available from a trusted source (e.g., App Store, Google Play Store)?</v>
      </c>
      <c r="C88" s="58" t="str">
        <f>VLOOKUP($A88,Questions!$A$3:$X$333,19,0)&amp;""</f>
        <v>Distributing application via known, moderately vetted application platform decreases the chances of malicious code distribution. Stand-alone deployments (nontrusted sources) should be looked at more closely.</v>
      </c>
      <c r="D88" s="58" t="str">
        <f>VLOOKUP($A88,Questions!$A$3:$X$333,20,0)&amp;""</f>
        <v>Ask the solution provider why this deployment strategy is used. Ask if it is a restriction of the app store platform or some other environment restriction.</v>
      </c>
    </row>
    <row r="89" spans="1:5" ht="65.25" customHeight="1" x14ac:dyDescent="0.2">
      <c r="A89" s="58" t="s">
        <v>216</v>
      </c>
      <c r="B89" s="58" t="str">
        <f>VLOOKUP($A89,Questions!$A$3:$X$333,2,0)&amp;""</f>
        <v>Do you have a fully implemented policy or procedure that details how your employees obtain administrator access to institutional instance of the application?</v>
      </c>
      <c r="C89" s="58"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58" t="str">
        <f>VLOOKUP($A89,Questions!$A$3:$X$333,20,0)&amp;""</f>
        <v>Ask the solution provider to summarize their implemented policies and/or procedures</v>
      </c>
      <c r="E89" s="242" t="s">
        <v>1510</v>
      </c>
    </row>
    <row r="90" spans="1:5" ht="18" x14ac:dyDescent="0.2">
      <c r="A90" s="64" t="str">
        <f>VLOOKUP(LEFT($A91,4),'Auto Responses'!$N$4:$O$38,2,0)&amp;""</f>
        <v xml:space="preserve"> Authentication, Authorization, and Account Management</v>
      </c>
      <c r="B90" s="64"/>
      <c r="C90" s="57" t="str">
        <f>Questions!$S$2</f>
        <v>Reason for Question</v>
      </c>
      <c r="D90" s="57" t="str">
        <f>Questions!$T$2</f>
        <v>Follow-Up Inquiries/Responses</v>
      </c>
    </row>
    <row r="91" spans="1:5" ht="66.75" customHeight="1" x14ac:dyDescent="0.2">
      <c r="A91" s="58" t="s">
        <v>219</v>
      </c>
      <c r="B91" s="58" t="str">
        <f>VLOOKUP($A91,Questions!$A$3:$X$333,2,0)&amp;""</f>
        <v>Does your solution support single sign-on (SSO) protocols for user and administrator authentication?*</v>
      </c>
      <c r="C91" s="58"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58" t="str">
        <f>VLOOKUP($A91,Questions!$A$3:$X$333,20,0)&amp;""</f>
        <v>Follow-up inquiries for IAM requirements will be institution/implementation specific.</v>
      </c>
    </row>
    <row r="92" spans="1:5" ht="46.5" customHeight="1" x14ac:dyDescent="0.2">
      <c r="A92" s="58" t="s">
        <v>224</v>
      </c>
      <c r="B92" s="58" t="str">
        <f>VLOOKUP($A92,Questions!$A$3:$X$333,2,0)&amp;""</f>
        <v>For customers not using SSO, does your solution support local authentication protocols for user and administrator authentication?*</v>
      </c>
      <c r="C92" s="58"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58"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2">
      <c r="A93" s="58" t="s">
        <v>228</v>
      </c>
      <c r="B93" s="58" t="str">
        <f>VLOOKUP($A93,Questions!$A$3:$X$333,2,0)&amp;""</f>
        <v>For customers not using SSO, can you enforce password/passphrase complexity requirements (provided by the institution)?*</v>
      </c>
      <c r="C93" s="58"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58" t="str">
        <f>VLOOKUP($A93,Questions!$A$3:$X$333,20,0)&amp;""</f>
        <v>Follow-up inquiries for password/passphrase complexity requirements will be institution/implementation specific.</v>
      </c>
    </row>
    <row r="94" spans="1:5" ht="42" customHeight="1" x14ac:dyDescent="0.2">
      <c r="A94" s="58" t="s">
        <v>229</v>
      </c>
      <c r="B94" s="58" t="str">
        <f>VLOOKUP($A94,Questions!$A$3:$X$333,2,0)&amp;""</f>
        <v>For customers not using SSO, does the system have password complexity or length limitations and/or restrictions?*</v>
      </c>
      <c r="C94" s="58"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58" t="str">
        <f>VLOOKUP($A94,Questions!$A$3:$X$333,20,0)&amp;""</f>
        <v>Follow-up inquiries for password/passphrase limitations and/or restrictions will be institution/implementation specific.</v>
      </c>
    </row>
    <row r="95" spans="1:5" ht="57" customHeight="1" x14ac:dyDescent="0.2">
      <c r="A95" s="58" t="s">
        <v>233</v>
      </c>
      <c r="B95" s="58" t="str">
        <f>VLOOKUP($A95,Questions!$A$3:$X$333,2,0)&amp;""</f>
        <v>For customers not using SSO, do you have documented password/passphrase reset procedures that are currently implemented in the system and/or customer support?*</v>
      </c>
      <c r="C95" s="58"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58"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2">
      <c r="A96" s="58" t="s">
        <v>236</v>
      </c>
      <c r="B96" s="58" t="str">
        <f>VLOOKUP($A96,Questions!$A$3:$X$333,2,0)&amp;""</f>
        <v>Does your organization participate in InCommon or another eduGAIN-affiliated trust federation?*</v>
      </c>
      <c r="C96" s="58" t="str">
        <f>VLOOKUP($A96,Questions!$A$3:$X$333,19,0)&amp;""</f>
        <v>This question defines the solution provider's scope of federated identity practices and their willingness to embrace higher education requirements.</v>
      </c>
      <c r="D96" s="58"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2">
      <c r="A97" s="58" t="s">
        <v>239</v>
      </c>
      <c r="B97" s="58" t="str">
        <f>VLOOKUP($A97,Questions!$A$3:$X$333,2,0)&amp;""</f>
        <v>Are there any passwords/passphrases hard-coded into your systems or solutions?*</v>
      </c>
      <c r="C97" s="58" t="str">
        <f>VLOOKUP($A97,Questions!$A$3:$X$333,19,0)&amp;""</f>
        <v>The response to this question can reveal the use (or not) of coding best practices. If passwords/passphrases are hard-coded into systems/productions, the solution provider should provide robust details supporting why this is required.</v>
      </c>
      <c r="D97" s="58"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2">
      <c r="A98" s="58" t="s">
        <v>242</v>
      </c>
      <c r="B98" s="58" t="str">
        <f>VLOOKUP($A98,Questions!$A$3:$X$333,2,0)&amp;""</f>
        <v>Are you storing any passwords in plaintext?*</v>
      </c>
      <c r="C98" s="58" t="str">
        <f>VLOOKUP($A98,Questions!$A$3:$X$333,19,0)&amp;""</f>
        <v>The focus of this question is confidentiality. It is a straightforward question confirming the encryption of user authentication details.</v>
      </c>
      <c r="D98" s="58" t="str">
        <f>VLOOKUP($A98,Questions!$A$3:$X$333,20,0)&amp;""</f>
        <v>Follow-up inquiries for password/passphrase encrypted storage will be institution/implementation specific.</v>
      </c>
    </row>
    <row r="99" spans="1:5" ht="72.75" customHeight="1" x14ac:dyDescent="0.2">
      <c r="A99" s="58" t="s">
        <v>245</v>
      </c>
      <c r="B99" s="58" t="str">
        <f>VLOOKUP($A99,Questions!$A$3:$X$333,2,0)&amp;""</f>
        <v>Are audit logs available that include AT LEAST all of the following: login, logout, actions performed, and source IP address?*</v>
      </c>
      <c r="C99" s="58"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58"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2">
      <c r="A100" s="58" t="s">
        <v>248</v>
      </c>
      <c r="B100" s="58"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58"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58"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2">
      <c r="A101" s="58" t="s">
        <v>252</v>
      </c>
      <c r="B101" s="58" t="str">
        <f>VLOOKUP($A101,Questions!$A$3:$X$333,2,0)&amp;""</f>
        <v>Can you provide the institution documentation regarding the retention period for those logs, how logs are protected, and whether they are accessible to the customer (and if so, how)?*</v>
      </c>
      <c r="C101" s="58"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58" t="str">
        <f>VLOOKUP($A101,Questions!$A$3:$X$333,20,0)&amp;""</f>
        <v>Follow-up inquiries for logging details will be institution/implementation specific.</v>
      </c>
    </row>
    <row r="102" spans="1:5" ht="69" customHeight="1" x14ac:dyDescent="0.2">
      <c r="A102" s="58" t="s">
        <v>256</v>
      </c>
      <c r="B102" s="58" t="str">
        <f>VLOOKUP($A102,Questions!$A$3:$X$333,2,0)&amp;""</f>
        <v>For customers not using SSO, does your application support integration with other authentication and authorization systems?</v>
      </c>
      <c r="C102" s="58"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58"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2">
      <c r="A103" s="58" t="s">
        <v>258</v>
      </c>
      <c r="B103" s="58" t="str">
        <f>VLOOKUP($A103,Questions!$A$3:$X$333,2,0)&amp;""</f>
        <v>Do you allow the customer to specify attribute mappings for any needed information beyond a user identifier? (e.g., Reference eduPerson, ePPA/ePPN/ePE)</v>
      </c>
      <c r="C103" s="58" t="str">
        <f>VLOOKUP($A103,Questions!$A$3:$X$333,19,0)&amp;""</f>
        <v>This questions allows an institution to know solution provider system limitations and to help them gauge the resources (that may be needed to implement) required to successfully integrate the solution with institution systems.</v>
      </c>
      <c r="D103" s="58" t="str">
        <f>VLOOKUP($A103,Questions!$A$3:$X$333,20,0)&amp;""</f>
        <v>Follow-up inquiries for attribute mapping requirements will be institution/implementation specific.</v>
      </c>
      <c r="E103" s="52"/>
    </row>
    <row r="104" spans="1:5" ht="63.75" customHeight="1" x14ac:dyDescent="0.2">
      <c r="A104" s="58" t="s">
        <v>263</v>
      </c>
      <c r="B104" s="58" t="str">
        <f>VLOOKUP($A104,Questions!$A$3:$X$333,2,0)&amp;""</f>
        <v>For customers not using SSO, does your application support directory integration for user accounts?</v>
      </c>
      <c r="C104" s="58"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58" t="str">
        <f>VLOOKUP($A104,Questions!$A$3:$X$333,20,0)&amp;""</f>
        <v>Follow-up inquiries for system authentication will be unique to your institution (e.g., policy, infrastructure, etc.).</v>
      </c>
    </row>
    <row r="105" spans="1:5" ht="67.5" customHeight="1" x14ac:dyDescent="0.2">
      <c r="A105" s="58" t="s">
        <v>264</v>
      </c>
      <c r="B105" s="58" t="str">
        <f>VLOOKUP($A105,Questions!$A$3:$X$333,2,0)&amp;""</f>
        <v>Does your solution support any of the following web SSO standards: SAML2 (with redirect flow), OIDC, CAS, or other?</v>
      </c>
      <c r="C105" s="58"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58" t="str">
        <f>VLOOKUP($A105,Questions!$A$3:$X$333,20,0)&amp;""</f>
        <v>Follow-up inquiries for IAM requirements will be institution/implementation specific.</v>
      </c>
    </row>
    <row r="106" spans="1:5" ht="52.5" customHeight="1" x14ac:dyDescent="0.2">
      <c r="A106" s="58" t="s">
        <v>268</v>
      </c>
      <c r="B106" s="58" t="str">
        <f>VLOOKUP($A106,Questions!$A$3:$X$333,2,0)&amp;""</f>
        <v>Do you support differentiation between email address and user identifier?</v>
      </c>
      <c r="C106" s="58" t="str">
        <f>VLOOKUP($A106,Questions!$A$3:$X$333,19,0)&amp;""</f>
        <v>This questions allows an institution to know solution provider system limitations and to help them gauge the resources (that may be needed to implement) required to successfully integrate the solution with institution systems.</v>
      </c>
      <c r="D106" s="58" t="str">
        <f>VLOOKUP($A106,Questions!$A$3:$X$333,20,0)&amp;""</f>
        <v>Follow-up inquiries for identifier requirements will be institution/implementation specific.</v>
      </c>
    </row>
    <row r="107" spans="1:5" ht="54" customHeight="1" x14ac:dyDescent="0.2">
      <c r="A107" s="58" t="s">
        <v>271</v>
      </c>
      <c r="B107" s="58" t="str">
        <f>VLOOKUP($A107,Questions!$A$3:$X$333,2,0)&amp;""</f>
        <v>For customers not using SSO, does your application and/or user frontend/portal support multifactor authentication (e.g., Duo, Google Authenticator, OTP, etc.)?</v>
      </c>
      <c r="C107" s="58"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58" t="str">
        <f>VLOOKUP($A107,Questions!$A$3:$X$333,20,0)&amp;""</f>
        <v>Ask the solution provider about hardware and software options, future roadmap for implementations and support, etc.</v>
      </c>
    </row>
    <row r="108" spans="1:5" ht="36.75" customHeight="1" x14ac:dyDescent="0.2">
      <c r="A108" s="58" t="s">
        <v>274</v>
      </c>
      <c r="B108" s="58" t="str">
        <f>VLOOKUP($A108,Questions!$A$3:$X$333,2,0)&amp;""</f>
        <v>Does your application automatically lock the session or log out an account after a period of inactivity?</v>
      </c>
      <c r="C108" s="58" t="str">
        <f>VLOOKUP($A108,Questions!$A$3:$X$333,19,0)&amp;""</f>
        <v>This is a question to ensure account integrity and institutional data confidentiality.</v>
      </c>
      <c r="D108" s="58" t="str">
        <f>VLOOKUP($A108,Questions!$A$3:$X$333,20,0)&amp;""</f>
        <v>Follow-up inquiries for inactivity protections will be institution/implementation specific.</v>
      </c>
      <c r="E108" s="242" t="s">
        <v>1510</v>
      </c>
    </row>
    <row r="109" spans="1:5" ht="18" x14ac:dyDescent="0.2">
      <c r="A109" s="64" t="str">
        <f>VLOOKUP(LEFT($A110,4),'Auto Responses'!$N$4:$O$38,2,0)&amp;""</f>
        <v xml:space="preserve"> Change Management</v>
      </c>
      <c r="B109" s="64"/>
      <c r="C109" s="57" t="str">
        <f>Questions!$S$2</f>
        <v>Reason for Question</v>
      </c>
      <c r="D109" s="57" t="str">
        <f>Questions!$T$2</f>
        <v>Follow-Up Inquiries/Responses</v>
      </c>
    </row>
    <row r="110" spans="1:5" ht="51" customHeight="1" x14ac:dyDescent="0.2">
      <c r="A110" s="58" t="s">
        <v>277</v>
      </c>
      <c r="B110" s="58" t="str">
        <f>VLOOKUP($A110,Questions!$A$3:$X$333,2,0)&amp;""</f>
        <v>Will the institution be notified of major changes to your environment that could impact the institution's security posture?*</v>
      </c>
      <c r="C110" s="58" t="str">
        <f>VLOOKUP($A110,Questions!$A$3:$X$333,19,0)&amp;""</f>
        <v>Notification expectations should be set earlier in the contract/assessment process. Timelines, correspondence medium, and playbook details are all aspects to keep in mind when assessing this response.</v>
      </c>
      <c r="D110" s="58" t="str">
        <f>VLOOKUP($A110,Questions!$A$3:$X$333,20,0)&amp;""</f>
        <v>If the solution provider's response does not cover the details outlined in the reasoning, follow up and get specific responses for each, as needed.</v>
      </c>
    </row>
    <row r="111" spans="1:5" ht="57" customHeight="1" x14ac:dyDescent="0.2">
      <c r="A111" s="58" t="s">
        <v>282</v>
      </c>
      <c r="B111" s="58" t="str">
        <f>VLOOKUP($A111,Questions!$A$3:$X$333,2,0)&amp;""</f>
        <v>Does the system support client customizations from one release to another?*</v>
      </c>
      <c r="C111" s="58"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58"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2">
      <c r="A112" s="58" t="s">
        <v>283</v>
      </c>
      <c r="B112" s="58" t="str">
        <f>VLOOKUP($A112,Questions!$A$3:$X$333,2,0)&amp;""</f>
        <v>Do you have an implemented system configuration management process (e.g.,secure "gold" images, etc.)?*</v>
      </c>
      <c r="C112" s="58"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58"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2">
      <c r="A113" s="58" t="s">
        <v>286</v>
      </c>
      <c r="B113" s="58" t="str">
        <f>VLOOKUP($A113,Questions!$A$3:$X$333,2,0)&amp;""</f>
        <v>Do you have a documented change management process?</v>
      </c>
      <c r="C113" s="58" t="str">
        <f>VLOOKUP($A113,Questions!$A$3:$X$333,19,0)&amp;""</f>
        <v>The lack of a change management function is indicative of immature program processes. Answers to this question can provide insight into how well their responses (on the HECVAT) represent their actual environment(s).</v>
      </c>
      <c r="D113" s="58" t="str">
        <f>VLOOKUP($A113,Questions!$A$3:$X$333,20,0)&amp;""</f>
        <v>If a weak response is given to this answer, response scrutiny should be increased. Questions about configuration management, system authority, and documentation are appropriate.</v>
      </c>
      <c r="E113" s="52"/>
    </row>
    <row r="114" spans="1:5" ht="54" customHeight="1" x14ac:dyDescent="0.2">
      <c r="A114" s="58" t="s">
        <v>290</v>
      </c>
      <c r="B114" s="58" t="str">
        <f>VLOOKUP($A114,Questions!$A$3:$X$333,2,0)&amp;""</f>
        <v>Does your change management process minimally include authorization, impact analysis, testing, and validation before moving changes to production?</v>
      </c>
      <c r="C114" s="58" t="str">
        <f>VLOOKUP($A114,Questions!$A$3:$X$333,19,0)&amp;""</f>
        <v>This question outlines a mature change management process. Changes should be analyzed for impact, officially approved, tested, and performed by authorized users.</v>
      </c>
      <c r="D114" s="58" t="str">
        <f>VLOOKUP($A114,Questions!$A$3:$X$333,20,0)&amp;""</f>
        <v>If the solution provider's response does not cover the details outlined in the reasoning, follow up and get specific responses, as needed.</v>
      </c>
      <c r="E114" s="59"/>
    </row>
    <row r="115" spans="1:5" ht="51" customHeight="1" x14ac:dyDescent="0.2">
      <c r="A115" s="58" t="s">
        <v>294</v>
      </c>
      <c r="B115" s="58" t="str">
        <f>VLOOKUP($A115,Questions!$A$3:$X$333,2,0)&amp;""</f>
        <v>Does your change management process verify that all required third-party libraries and dependencies are still supported with each major change?</v>
      </c>
      <c r="C115" s="58" t="str">
        <f>VLOOKUP($A115,Questions!$A$3:$X$333,19,0)&amp;""</f>
        <v>This question is fundamentally about supply chain. The solution provider should be able to document its procedures around tracking libraries maintained by third parties.</v>
      </c>
      <c r="D115" s="58" t="str">
        <f>VLOOKUP($A115,Questions!$A$3:$X$333,20,0)&amp;""</f>
        <v>If the solution provider's response does not cover the details outlined in the reasoning, follow-up and get specific responses for each, as needed.</v>
      </c>
    </row>
    <row r="116" spans="1:5" ht="39.75" customHeight="1" x14ac:dyDescent="0.2">
      <c r="A116" s="58" t="s">
        <v>298</v>
      </c>
      <c r="B116" s="58" t="str">
        <f>VLOOKUP($A116,Questions!$A$3:$X$333,2,0)&amp;""</f>
        <v>Do you have policy and procedure, currently implemented, managing how critical patches are applied to all systems and applications?</v>
      </c>
      <c r="C116" s="58" t="str">
        <f>VLOOKUP($A116,Questions!$A$3:$X$333,19,0)&amp;""</f>
        <v>Answers to this question will reveal the solution provider’s knowledge of their IT assets and their ability to respond to notifications about their systems and software.</v>
      </c>
      <c r="D116" s="58" t="str">
        <f>VLOOKUP($A116,Questions!$A$3:$X$333,20,0)&amp;""</f>
        <v>Follow-up inquiries for the solution provider’s patching practices will be institution/implementation specific.</v>
      </c>
    </row>
    <row r="117" spans="1:5" ht="66.75" customHeight="1" x14ac:dyDescent="0.2">
      <c r="A117" s="58" t="s">
        <v>302</v>
      </c>
      <c r="B117" s="58" t="str">
        <f>VLOOKUP($A117,Questions!$A$3:$X$333,2,0)&amp;""</f>
        <v>Have you implemented policies and procedures that guide how security risks are mitigated until patches can be applied?</v>
      </c>
      <c r="C117" s="58"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58" t="str">
        <f>VLOOKUP($A117,Questions!$A$3:$X$333,20,0)&amp;""</f>
        <v>Follow-up inquiries for the solution providers patching practices will be institution/implementation specific.</v>
      </c>
    </row>
    <row r="118" spans="1:5" ht="86.25" customHeight="1" x14ac:dyDescent="0.2">
      <c r="A118" s="58" t="s">
        <v>305</v>
      </c>
      <c r="B118" s="58" t="str">
        <f>VLOOKUP($A118,Questions!$A$3:$X$333,2,0)&amp;""</f>
        <v>Do clients have the option to not participate in or postpone an upgrade to a new release?</v>
      </c>
      <c r="C118" s="58"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58" t="str">
        <f>VLOOKUP($A118,Questions!$A$3:$X$333,20,0)&amp;""</f>
        <v>Follow-up inquiries for solution version releases will be institution/implementation specific.</v>
      </c>
    </row>
    <row r="119" spans="1:5" ht="42.75" x14ac:dyDescent="0.2">
      <c r="A119" s="58" t="s">
        <v>308</v>
      </c>
      <c r="B119" s="58" t="str">
        <f>VLOOKUP($A119,Questions!$A$3:$X$333,2,0)&amp;""</f>
        <v>Do you have a fully implemented solution support strategy that defines how many concurrent versions you support?</v>
      </c>
      <c r="C119" s="58" t="str">
        <f>VLOOKUP($A119,Questions!$A$3:$X$333,19,0)&amp;""</f>
        <v>Supporting multiple versions of a solution is challenging. Understanding the solution provider’s strategy and resources will provide insight into its ability to adequately support their customers.</v>
      </c>
      <c r="D119" s="58" t="str">
        <f>VLOOKUP($A119,Questions!$A$3:$X$333,20,0)&amp;""</f>
        <v>Follow-up inquiries for the solution provider’s support of concurrent versions will be institution/implementation specific.</v>
      </c>
    </row>
    <row r="120" spans="1:5" ht="49.5" customHeight="1" x14ac:dyDescent="0.2">
      <c r="A120" s="58" t="s">
        <v>310</v>
      </c>
      <c r="B120" s="58" t="str">
        <f>VLOOKUP($A120,Questions!$A$3:$X$333,2,0)&amp;""</f>
        <v>Do you have a release schedule for product updates?</v>
      </c>
      <c r="C120" s="58" t="str">
        <f>VLOOKUP($A120,Questions!$A$3:$X$333,19,0)&amp;""</f>
        <v>Answers to this question will reveal the solution provider’s ability to plan in the short term. This is valuable information for customers so they can anticipate updates and potential bug fixes.</v>
      </c>
      <c r="D120" s="58" t="str">
        <f>VLOOKUP($A120,Questions!$A$3:$X$333,20,0)&amp;""</f>
        <v>Follow-up inquiries for the solution provider’s solution update practices will be institution/implementation specific.</v>
      </c>
    </row>
    <row r="121" spans="1:5" ht="38.25" customHeight="1" x14ac:dyDescent="0.2">
      <c r="A121" s="58" t="s">
        <v>314</v>
      </c>
      <c r="B121" s="58" t="str">
        <f>VLOOKUP($A121,Questions!$A$3:$X$333,2,0)&amp;""</f>
        <v>Do you have a technology roadmap, for at least the next two years, for enhancements and bug fixes for the solution being assessed?</v>
      </c>
      <c r="C121" s="58" t="str">
        <f>VLOOKUP($A121,Questions!$A$3:$X$333,19,0)&amp;""</f>
        <v>Answers to this question will reveal the solution provider’s ability to plan for the future of their solution.</v>
      </c>
      <c r="D121" s="58" t="str">
        <f>VLOOKUP($A121,Questions!$A$3:$X$333,20,0)&amp;""</f>
        <v>Follow-up inquiries for the solution provider’s technology planning practices will be institution/implementation specific.</v>
      </c>
    </row>
    <row r="122" spans="1:5" ht="84.75" customHeight="1" x14ac:dyDescent="0.2">
      <c r="A122" s="58" t="s">
        <v>317</v>
      </c>
      <c r="B122" s="58" t="str">
        <f>VLOOKUP($A122,Questions!$A$3:$X$333,2,0)&amp;""</f>
        <v>Can solution updates be completed without institutional involvement (i.e., technically or organizationally)?</v>
      </c>
      <c r="C122" s="58"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58" t="str">
        <f>VLOOKUP($A122,Questions!$A$3:$X$333,20,0)&amp;""</f>
        <v>Vague responses to this question should be investigated further. Ask for additional documentation for customer responsibilities (in the context of information technology/security).</v>
      </c>
    </row>
    <row r="123" spans="1:5" ht="58.5" customHeight="1" x14ac:dyDescent="0.2">
      <c r="A123" s="58" t="s">
        <v>322</v>
      </c>
      <c r="B123" s="58" t="str">
        <f>VLOOKUP($A123,Questions!$A$3:$X$333,2,0)&amp;""</f>
        <v>Are upgrades or system changes installed during off-peak hours or in a manner that does not impact the customer?</v>
      </c>
      <c r="C123" s="58"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58" t="str">
        <f>VLOOKUP($A123,Questions!$A$3:$X$333,20,0)&amp;""</f>
        <v>If the solution provider's response does not cover the details outlined in the reasoning, follow up and get specific responses, as needed.</v>
      </c>
    </row>
    <row r="124" spans="1:5" ht="52.5" customHeight="1" x14ac:dyDescent="0.2">
      <c r="A124" s="58" t="s">
        <v>326</v>
      </c>
      <c r="B124" s="58" t="str">
        <f>VLOOKUP($A124,Questions!$A$3:$X$333,2,0)&amp;""</f>
        <v>Do procedures exist to provide that emergency changes are documented and authorized (including after-the-fact approval)?</v>
      </c>
      <c r="C124" s="58"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58" t="str">
        <f>VLOOKUP($A124,Questions!$A$3:$X$333,20,0)&amp;""</f>
        <v>Follow up with a robust question set if a solution provider cannot clearly state full control of the integrity of their system(s).</v>
      </c>
    </row>
    <row r="125" spans="1:5" ht="66.75" customHeight="1" x14ac:dyDescent="0.2">
      <c r="A125" s="58" t="s">
        <v>329</v>
      </c>
      <c r="B125" s="58" t="str">
        <f>VLOOKUP($A125,Questions!$A$3:$X$333,2,0)&amp;""</f>
        <v>Do you have a systems management and configuration strategy that encompasses servers, appliances, cloud services, applications, and mobile devices (company and employee owned)?</v>
      </c>
      <c r="C125" s="58"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58"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42" t="s">
        <v>1510</v>
      </c>
    </row>
    <row r="126" spans="1:5" ht="18" x14ac:dyDescent="0.2">
      <c r="A126" s="64" t="str">
        <f>VLOOKUP(LEFT($A127,4),'Auto Responses'!$N$4:$O$38,2,0)&amp;""</f>
        <v xml:space="preserve"> Data</v>
      </c>
      <c r="B126" s="64"/>
      <c r="C126" s="57" t="str">
        <f>Questions!$S$2</f>
        <v>Reason for Question</v>
      </c>
      <c r="D126" s="57" t="str">
        <f>Questions!$T$2</f>
        <v>Follow-Up Inquiries/Responses</v>
      </c>
    </row>
    <row r="127" spans="1:5" ht="50.25" customHeight="1" x14ac:dyDescent="0.2">
      <c r="A127" s="58" t="s">
        <v>333</v>
      </c>
      <c r="B127" s="58" t="str">
        <f>VLOOKUP($A127,Questions!$A$3:$X$333,2,0)&amp;""</f>
        <v>Will the institution's data be stored on any devices (database servers, file servers, SAN, NAS, etc.) configured with non-RFC 1918/4193 (i.e., publicly routable) IP addresses?*</v>
      </c>
      <c r="C127" s="58" t="str">
        <f>VLOOKUP($A127,Questions!$A$3:$X$333,19,0)&amp;""</f>
        <v>Systems that are directly exposed to public internet resources are at greater risk than those that are not. Understanding the requirements for this configuration is important, particularly when assessing compensating controls.</v>
      </c>
      <c r="D127" s="58" t="str">
        <f>VLOOKUP($A127,Questions!$A$3:$X$333,20,0)&amp;""</f>
        <v>Ask the solution provider about its infrastructure and if there is a solution that eliminates the need for this environment.</v>
      </c>
    </row>
    <row r="128" spans="1:5" ht="42" customHeight="1" x14ac:dyDescent="0.2">
      <c r="A128" s="58" t="s">
        <v>337</v>
      </c>
      <c r="B128" s="58" t="str">
        <f>VLOOKUP($A128,Questions!$A$3:$X$333,2,0)&amp;""</f>
        <v>Is the transport of sensitive data encrypted using security protocols/algorithms (e.g., system-to-client)?*</v>
      </c>
      <c r="C128" s="58" t="str">
        <f>VLOOKUP($A128,Questions!$A$3:$X$333,19,0)&amp;""</f>
        <v>The need for encryption in transport is unique to your institution's implementation of a system. In particular, the data flow between the system and the end users of the solution.</v>
      </c>
      <c r="D128" s="58" t="str">
        <f>VLOOKUP($A128,Questions!$A$3:$X$333,20,0)&amp;""</f>
        <v>Follow-up inquiries for data encryption between the system and end-users will be institution/implementation specific.</v>
      </c>
    </row>
    <row r="129" spans="1:5" ht="54.75" customHeight="1" x14ac:dyDescent="0.2">
      <c r="A129" s="58" t="s">
        <v>340</v>
      </c>
      <c r="B129" s="58" t="str">
        <f>VLOOKUP($A129,Questions!$A$3:$X$333,2,0)&amp;""</f>
        <v>Is the storage of sensitive data encrypted using security protocols/algorithms (e.g., disk encryption, at-rest, files, and within a running database)?*</v>
      </c>
      <c r="C129" s="58" t="str">
        <f>VLOOKUP($A129,Questions!$A$3:$X$333,19,0)&amp;""</f>
        <v>The need for encryption at-rest is unique to your institution's implementation of a system. In particular, system components, architectures, and data flows all factor into the need for this control.</v>
      </c>
      <c r="D129" s="58" t="str">
        <f>VLOOKUP($A129,Questions!$A$3:$X$333,20,0)&amp;""</f>
        <v>Follow-up inquiries for data encryption at-rest will be institution/implementation specific.</v>
      </c>
      <c r="E129" s="52"/>
    </row>
    <row r="130" spans="1:5" ht="64.5" customHeight="1" x14ac:dyDescent="0.2">
      <c r="A130" s="58" t="s">
        <v>344</v>
      </c>
      <c r="B130" s="58" t="str">
        <f>VLOOKUP($A130,Questions!$A$3:$X$333,2,0)&amp;""</f>
        <v>Do all cryptographic modules in use in your solution conform to the Federal Information Processing Standards (FIPS PUB 140-2 or 140-3)?*</v>
      </c>
      <c r="C130" s="58"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58" t="str">
        <f>VLOOKUP($A130,Questions!$A$3:$X$333,20,0)&amp;""</f>
        <v>If the solution provider cannot accommodate open standards encryption requirements, direct them to NIST's Cryptographic Standards and Guidelines document &lt;https://csrc.nist.gov/Projects/Cryptographic-Standards-and-Guidelines&gt;.</v>
      </c>
      <c r="E130" s="59"/>
    </row>
    <row r="131" spans="1:5" ht="53.25" customHeight="1" x14ac:dyDescent="0.2">
      <c r="A131" s="58" t="s">
        <v>349</v>
      </c>
      <c r="B131" s="58" t="str">
        <f>VLOOKUP($A131,Questions!$A$3:$X$333,2,0)&amp;""</f>
        <v>Will the institution's data be available within the system for a period of time at the completion of this contract?*</v>
      </c>
      <c r="C131" s="58"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58" t="str">
        <f>VLOOKUP($A131,Questions!$A$3:$X$333,20,0)&amp;""</f>
        <v>A solution provider's response should be clear and concise. Be wary of vague responses to this questions and inquire about export specifics, as needed.</v>
      </c>
      <c r="E131" s="61"/>
    </row>
    <row r="132" spans="1:5" ht="50.25" customHeight="1" x14ac:dyDescent="0.2">
      <c r="A132" s="58" t="s">
        <v>352</v>
      </c>
      <c r="B132" s="58" t="str">
        <f>VLOOKUP($A132,Questions!$A$3:$X$333,2,0)&amp;""</f>
        <v>Are ownership rights to all data, inputs, outputs, and metadata retained even through a provider acquisition or bankruptcy event?*</v>
      </c>
      <c r="C132" s="58" t="str">
        <f>VLOOKUP($A132,Questions!$A$3:$X$333,19,0)&amp;""</f>
        <v>This question clarifies the position of the institution in the case of acquisition or bankruptcy. Expect clear responses to this question. If they are vague, be sure to follow up based on institutional counsel guidance.</v>
      </c>
      <c r="D132" s="58" t="str">
        <f>VLOOKUP($A132,Questions!$A$3:$X$333,20,0)&amp;""</f>
        <v>If a solution provider's response is unsatisfactory, engage institutional counsel to appropriately address any ownership concerns.</v>
      </c>
    </row>
    <row r="133" spans="1:5" ht="63.75" customHeight="1" x14ac:dyDescent="0.2">
      <c r="A133" s="58" t="s">
        <v>354</v>
      </c>
      <c r="B133" s="58" t="str">
        <f>VLOOKUP($A133,Questions!$A$3:$X$333,2,0)&amp;""</f>
        <v>Do backups containing the institution's data ever leave the institution's data zone either physically or via network routing?*</v>
      </c>
      <c r="C133" s="58"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58" t="str">
        <f>VLOOKUP($A133,Questions!$A$3:$X$333,20,0)&amp;""</f>
        <v>Follow-up inquiries for data backup procedures/practices will be institution/implementation specific.</v>
      </c>
    </row>
    <row r="134" spans="1:5" ht="56.25" customHeight="1" x14ac:dyDescent="0.2">
      <c r="A134" s="58" t="s">
        <v>356</v>
      </c>
      <c r="B134" s="58" t="str">
        <f>VLOOKUP($A134,Questions!$A$3:$X$333,2,0)&amp;""</f>
        <v>Is media used for long-term retention of business data and archival purposes stored in a secure, environmentally protected area?*</v>
      </c>
      <c r="C134" s="58"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58"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2">
      <c r="A135" s="58" t="s">
        <v>360</v>
      </c>
      <c r="B135" s="58" t="str">
        <f>VLOOKUP($A135,Questions!$A$3:$X$333,2,0)&amp;""</f>
        <v>At the completion of this contract, will data be returned to the institution and/or deleted from all your systems and archives?</v>
      </c>
      <c r="C135" s="58"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58" t="str">
        <f>VLOOKUP($A135,Questions!$A$3:$X$333,20,0)&amp;""</f>
        <v>A solution provider's response should be clear and concise. Be wary of vague responses to this questions and inquire about export specifics, as needed.</v>
      </c>
    </row>
    <row r="136" spans="1:5" ht="53.25" customHeight="1" x14ac:dyDescent="0.2">
      <c r="A136" s="58" t="s">
        <v>364</v>
      </c>
      <c r="B136" s="58" t="str">
        <f>VLOOKUP($A136,Questions!$A$3:$X$333,2,0)&amp;""</f>
        <v>Can the institution extract a full or partial backup of data?</v>
      </c>
      <c r="C136" s="58"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58" t="str">
        <f>VLOOKUP($A136,Questions!$A$3:$X$333,20,0)&amp;""</f>
        <v>A solution provider's response should be clear and concise. Be wary of vague responses to this questions and inquire about export specifics, as needed.</v>
      </c>
    </row>
    <row r="137" spans="1:5" ht="46.5" customHeight="1" x14ac:dyDescent="0.2">
      <c r="A137" s="58" t="s">
        <v>368</v>
      </c>
      <c r="B137" s="58" t="str">
        <f>VLOOKUP($A137,Questions!$A$3:$X$333,2,0)&amp;""</f>
        <v>Do current backups include all operating system software, utilities, security software, application software, and data files necessary for recovery?</v>
      </c>
      <c r="C137" s="58" t="str">
        <f>VLOOKUP($A137,Questions!$A$3:$X$333,19,0)&amp;""</f>
        <v>The purpose of this question is to define the scope of backup operations and the scope at which a solution provider may readily recover when backup restoration is required.</v>
      </c>
      <c r="D137" s="58" t="str">
        <f>VLOOKUP($A137,Questions!$A$3:$X$333,20,0)&amp;""</f>
        <v>Follow-up inquiries for backup content scope will be institution/implementation specific.</v>
      </c>
    </row>
    <row r="138" spans="1:5" ht="74.25" customHeight="1" x14ac:dyDescent="0.2">
      <c r="A138" s="58" t="s">
        <v>372</v>
      </c>
      <c r="B138" s="58" t="str">
        <f>VLOOKUP($A138,Questions!$A$3:$X$333,2,0)&amp;""</f>
        <v>Are you performing off-site backups (i.e., digitally moved off site)?</v>
      </c>
      <c r="C138" s="58"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58" t="str">
        <f>VLOOKUP($A138,Questions!$A$3:$X$333,20,0)&amp;""</f>
        <v>Follow-up inquiries for off-site, digital backups will be institution/implementation specific.</v>
      </c>
    </row>
    <row r="139" spans="1:5" ht="56.25" customHeight="1" x14ac:dyDescent="0.2">
      <c r="A139" s="58" t="s">
        <v>378</v>
      </c>
      <c r="B139" s="58" t="str">
        <f>VLOOKUP($A139,Questions!$A$3:$X$333,2,0)&amp;""</f>
        <v>Are physical backups taken off-site (i.e., physically moved off site)?</v>
      </c>
      <c r="C139" s="58" t="str">
        <f>VLOOKUP($A139,Questions!$A$3:$X$333,19,0)&amp;""</f>
        <v>When data is moved physically (e.g.,HDD, print, etc.) off-site, the policies and implemented procedures are important to know. Unencrypted data taken outside secured areas introduces unnecessary risks.</v>
      </c>
      <c r="D139" s="58" t="str">
        <f>VLOOKUP($A139,Questions!$A$3:$X$333,20,0)&amp;""</f>
        <v>Follow-up inquiries for off-site, physical backups will be institution/implementation specific.</v>
      </c>
    </row>
    <row r="140" spans="1:5" ht="60" customHeight="1" x14ac:dyDescent="0.2">
      <c r="A140" s="58" t="s">
        <v>383</v>
      </c>
      <c r="B140" s="58" t="str">
        <f>VLOOKUP($A140,Questions!$A$3:$X$333,2,0)&amp;""</f>
        <v>Are data backups encrypted?</v>
      </c>
      <c r="C140" s="58" t="str">
        <f>VLOOKUP($A140,Questions!$A$3:$X$333,19,0)&amp;""</f>
        <v>The need for encryption at rest (for backups) is unique to your institution's implementation of a system. In particular, system components, architectures, and data flows all factor into the need for this control.</v>
      </c>
      <c r="D140" s="58" t="str">
        <f>VLOOKUP($A140,Questions!$A$3:$X$333,20,0)&amp;""</f>
        <v>Follow-up inquiries for data backup encryption at-rest will be institution/implementation specific.</v>
      </c>
    </row>
    <row r="141" spans="1:5" ht="72" customHeight="1" x14ac:dyDescent="0.2">
      <c r="A141" s="58" t="s">
        <v>384</v>
      </c>
      <c r="B141" s="58" t="str">
        <f>VLOOKUP($A141,Questions!$A$3:$X$333,2,0)&amp;""</f>
        <v>Do you have a media handling process that is documented and currently implemented that meets established business needs and regulatory requirements, including end-of-life, repurposing, and data-sanitization procedures?</v>
      </c>
      <c r="C141" s="58"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58"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2">
      <c r="A142" s="58" t="s">
        <v>386</v>
      </c>
      <c r="B142" s="58" t="str">
        <f>VLOOKUP($A142,Questions!$A$3:$X$333,2,0)&amp;""</f>
        <v>Does the process described in DATA-15 adhere to DoD 5220.22-M and/or NIST SP 800-88 standards?</v>
      </c>
      <c r="C142" s="58"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58" t="str">
        <f>VLOOKUP($A142,Questions!$A$3:$X$333,20,0)&amp;""</f>
        <v>Follow-up inquiries for DoD 5220.22-M and/or SP800-88 standards will be institution specific.</v>
      </c>
    </row>
    <row r="143" spans="1:5" ht="68.25" customHeight="1" x14ac:dyDescent="0.2">
      <c r="A143" s="58" t="s">
        <v>390</v>
      </c>
      <c r="B143" s="58" t="str">
        <f>VLOOKUP($A143,Questions!$A$3:$X$333,2,0)&amp;""</f>
        <v>Does your staff (or third party) have access to institutional data (e.g., financial, PHI, or other sensitive information) through any means?</v>
      </c>
      <c r="C143" s="58"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58"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2">
      <c r="A144" s="58" t="s">
        <v>396</v>
      </c>
      <c r="B144" s="58" t="str">
        <f>VLOOKUP($A144,Questions!$A$3:$X$333,2,0)&amp;""</f>
        <v>Do you have a documented and currently implemented strategy for securing employee workstations when they work remotely (i.e., not in a trusted computing environment)?</v>
      </c>
      <c r="C144" s="58"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58"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2">
      <c r="A145" s="58" t="s">
        <v>398</v>
      </c>
      <c r="B145" s="58" t="str">
        <f>VLOOKUP($A145,Questions!$A$3:$X$333,2,0)&amp;""</f>
        <v>Does the environment provide for dedicated single-tenant capabilities? If not, describe how your solution or environment separates data from different customers (e.g., logically, physically, single tenancy, multi-tenancy).</v>
      </c>
      <c r="C145" s="58"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58" t="str">
        <f>VLOOKUP($A145,Questions!$A$3:$X$333,20,0)&amp;""</f>
        <v>Follow-up inquiries for dedicated single-tenant capabilities will be institution/implementation specific.</v>
      </c>
    </row>
    <row r="146" spans="1:5" ht="68.25" customHeight="1" x14ac:dyDescent="0.2">
      <c r="A146" s="58" t="s">
        <v>403</v>
      </c>
      <c r="B146" s="58" t="str">
        <f>VLOOKUP($A146,Questions!$A$3:$X$333,2,0)&amp;""</f>
        <v>Are ownership rights to all data, inputs, outputs, and metadata retained by the institution?</v>
      </c>
      <c r="C146" s="58"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58" t="str">
        <f>VLOOKUP($A146,Questions!$A$3:$X$333,20,0)&amp;""</f>
        <v>If a solution provider's response is unsatisfactory, engage institutional counsel to appropriately address any ownership concerns.</v>
      </c>
    </row>
    <row r="147" spans="1:5" ht="60.75" customHeight="1" x14ac:dyDescent="0.2">
      <c r="A147" s="58" t="s">
        <v>406</v>
      </c>
      <c r="B147" s="58" t="str">
        <f>VLOOKUP($A147,Questions!$A$3:$X$333,2,0)&amp;""</f>
        <v>In the event of imminent bankruptcy, closing of business, or retirement of service, will you provide 90 days for customers to get their data out of the system and migrate applications?</v>
      </c>
      <c r="C147" s="58" t="str">
        <f>VLOOKUP($A147,Questions!$A$3:$X$333,19,0)&amp;""</f>
        <v>This question clarifies the position of the institution in the case of acquisition or bankruptcy. Expect clear responses to this question. If they are vague, be sure to follow up based on institutional counsel guidance.</v>
      </c>
      <c r="D147" s="58" t="str">
        <f>VLOOKUP($A147,Questions!$A$3:$X$333,20,0)&amp;""</f>
        <v>If a solution provider's response is unsatisfactory, engage institutional counsel to appropriately address any ownership concerns.</v>
      </c>
    </row>
    <row r="148" spans="1:5" ht="74.25" customHeight="1" x14ac:dyDescent="0.2">
      <c r="A148" s="58" t="s">
        <v>409</v>
      </c>
      <c r="B148" s="58" t="str">
        <f>VLOOKUP($A148,Questions!$A$3:$X$333,2,0)&amp;""</f>
        <v>Are involatile backup copies made according to predefined schedules and securely stored and protected?</v>
      </c>
      <c r="C148" s="58"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58" t="str">
        <f>VLOOKUP($A148,Questions!$A$3:$X$333,20,0)&amp;""</f>
        <v>An institution's use case will drive the requirements for backup strategy. Ensure that the institution's use case and risk tolerance can be met by solution provider systems.</v>
      </c>
    </row>
    <row r="149" spans="1:5" ht="81" customHeight="1" x14ac:dyDescent="0.2">
      <c r="A149" s="58" t="s">
        <v>413</v>
      </c>
      <c r="B149" s="58" t="str">
        <f>VLOOKUP($A149,Questions!$A$3:$X$333,2,0)&amp;""</f>
        <v>Do you have a cryptographic key management process (generation, exchange, storage, safeguards, use, vetting, and replacement) that is documented and currently implemented, for all system components (e.g., database, system, web, etc.)?</v>
      </c>
      <c r="C149" s="58"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58" t="str">
        <f>VLOOKUP($A149,Questions!$A$3:$X$333,20,0)&amp;""</f>
        <v>Follow up with the solution provider to ensure that all components of the system are considered. This includes system-to-system, system-to-client, applications, system accounts, etc.</v>
      </c>
      <c r="E149" s="242" t="s">
        <v>1510</v>
      </c>
    </row>
    <row r="150" spans="1:5" ht="18" x14ac:dyDescent="0.2">
      <c r="A150" s="64" t="str">
        <f>VLOOKUP(LEFT($A151,4),'Auto Responses'!$N$4:$O$38,2,0)&amp;""</f>
        <v xml:space="preserve"> Datacenter</v>
      </c>
      <c r="B150" s="64"/>
      <c r="C150" s="57" t="str">
        <f>Questions!$S$2</f>
        <v>Reason for Question</v>
      </c>
      <c r="D150" s="57" t="str">
        <f>Questions!$T$2</f>
        <v>Follow-Up Inquiries/Responses</v>
      </c>
    </row>
    <row r="151" spans="1:5" ht="56.25" customHeight="1" x14ac:dyDescent="0.2">
      <c r="A151" s="58" t="s">
        <v>418</v>
      </c>
      <c r="B151" s="58" t="str">
        <f>VLOOKUP($A151,Questions!$A$3:$X$333,2,0)&amp;""</f>
        <v>Select your hosting option.</v>
      </c>
      <c r="C151" s="58" t="str">
        <f>VLOOKUP($A151,Questions!$A$3:$X$333,19,0)&amp;""</f>
        <v>Understanding the hosting environment may reveal infrastructure risks that may not be apparent by other means and provides context to the responses provided throughout this HECVAT.</v>
      </c>
      <c r="D151" s="58" t="str">
        <f>VLOOKUP($A151,Questions!$A$3:$X$333,20,0)&amp;""</f>
        <v>Follow-up inquiries for hosting options will be institution/implementation specific.</v>
      </c>
    </row>
    <row r="152" spans="1:5" ht="131.25" customHeight="1" x14ac:dyDescent="0.2">
      <c r="A152" s="58" t="s">
        <v>423</v>
      </c>
      <c r="B152" s="58" t="str">
        <f>VLOOKUP($A152,Questions!$A$3:$X$333,2,0)&amp;""</f>
        <v>Is a SOC 2 Type 2 report available for the hosting environment?</v>
      </c>
      <c r="C152" s="58"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58" t="str">
        <f>VLOOKUP($A152,Questions!$A$3:$X$333,20,0)&amp;""</f>
        <v>Follow-up inquiries for additional solution provider's SOC 2 Type 2 reports will be institution/implementation specific.</v>
      </c>
    </row>
    <row r="153" spans="1:5" ht="99.75" customHeight="1" x14ac:dyDescent="0.2">
      <c r="A153" s="58" t="s">
        <v>425</v>
      </c>
      <c r="B153" s="58" t="str">
        <f>VLOOKUP($A153,Questions!$A$3:$X$333,2,0)&amp;""</f>
        <v>Are you generally able to accommodate storing each institution's data within its geographic region?</v>
      </c>
      <c r="C153" s="58"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58"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2"/>
    </row>
    <row r="154" spans="1:5" ht="64.5" customHeight="1" x14ac:dyDescent="0.2">
      <c r="A154" s="58" t="s">
        <v>428</v>
      </c>
      <c r="B154" s="58" t="str">
        <f>VLOOKUP($A154,Questions!$A$3:$X$333,2,0)&amp;""</f>
        <v>Are the data centers staffed 24 hours a day, seven days a week (i.e., 24 x 7 x 365)?</v>
      </c>
      <c r="C154" s="58"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58" t="str">
        <f>VLOOKUP($A154,Questions!$A$3:$X$333,20,0)&amp;""</f>
        <v>Follow-up inquiries for data center staffing will be institution/implementation specific.</v>
      </c>
      <c r="E154" s="59"/>
    </row>
    <row r="155" spans="1:5" ht="72" customHeight="1" x14ac:dyDescent="0.2">
      <c r="A155" s="58" t="s">
        <v>433</v>
      </c>
      <c r="B155" s="58" t="str">
        <f>VLOOKUP($A155,Questions!$A$3:$X$333,2,0)&amp;""</f>
        <v>Are your servers separated from other companies via a physical barrier, such as a cage or hard walls?</v>
      </c>
      <c r="C155" s="58"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58" t="str">
        <f>VLOOKUP($A155,Questions!$A$3:$X$333,20,0)&amp;""</f>
        <v>Follow-up inquiries for system physical security will be institution/implementation specific.</v>
      </c>
    </row>
    <row r="156" spans="1:5" ht="78" customHeight="1" x14ac:dyDescent="0.2">
      <c r="A156" s="58" t="s">
        <v>436</v>
      </c>
      <c r="B156" s="58" t="str">
        <f>VLOOKUP($A156,Questions!$A$3:$X$333,2,0)&amp;""</f>
        <v>Does a physical barrier fully enclose the physical space, preventing unauthorized physical contact with any of your devices?*</v>
      </c>
      <c r="C156" s="58"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58" t="str">
        <f>VLOOKUP($A156,Questions!$A$3:$X$333,20,0)&amp;""</f>
        <v>Follow-up inquiries for system physical security will be institution/implementation specific.</v>
      </c>
    </row>
    <row r="157" spans="1:5" ht="68.25" customHeight="1" x14ac:dyDescent="0.2">
      <c r="A157" s="58" t="s">
        <v>438</v>
      </c>
      <c r="B157" s="58" t="str">
        <f>VLOOKUP($A157,Questions!$A$3:$X$333,2,0)&amp;""</f>
        <v>Are your primary and secondary data centers geographically diverse?</v>
      </c>
      <c r="C157" s="58"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58" t="str">
        <f>VLOOKUP($A157,Questions!$A$3:$X$333,20,0)&amp;""</f>
        <v>Follow-up inquiries for geographic diversity in datacenters will be institution/implementation specific.</v>
      </c>
    </row>
    <row r="158" spans="1:5" ht="67.5" customHeight="1" x14ac:dyDescent="0.2">
      <c r="A158" s="58" t="s">
        <v>443</v>
      </c>
      <c r="B158" s="58" t="str">
        <f>VLOOKUP($A158,Questions!$A$3:$X$333,2,0)&amp;""</f>
        <v>Is the service hosted in a high-availability environment?</v>
      </c>
      <c r="C158" s="58" t="str">
        <f>VLOOKUP($A158,Questions!$A$3:$X$333,19,0)&amp;""</f>
        <v>In the context of the CIA triad, this question is focused on the availability of a system (or set of systems).</v>
      </c>
      <c r="D158" s="58" t="str">
        <f>VLOOKUP($A158,Questions!$A$3:$X$333,20,0)&amp;""</f>
        <v>The weight placed on the solution provider's response will be specific to the institution's use case and solution requirements.</v>
      </c>
    </row>
    <row r="159" spans="1:5" ht="36" customHeight="1" x14ac:dyDescent="0.2">
      <c r="A159" s="58" t="s">
        <v>444</v>
      </c>
      <c r="B159" s="58" t="str">
        <f>VLOOKUP($A159,Questions!$A$3:$X$333,2,0)&amp;""</f>
        <v>Is redundant power available for all data centers where institutional data will reside?</v>
      </c>
      <c r="C159" s="58" t="str">
        <f>VLOOKUP($A159,Questions!$A$3:$X$333,19,0)&amp;""</f>
        <v>In the context of the CIA triad, this question is focused on the availability of a system (or set of systems).</v>
      </c>
      <c r="D159" s="58" t="str">
        <f>VLOOKUP($A159,Questions!$A$3:$X$333,20,0)&amp;""</f>
        <v>The weight placed on the solution provider's response will be specific to the institution's use case and solution requirements.</v>
      </c>
    </row>
    <row r="160" spans="1:5" ht="71.25" customHeight="1" x14ac:dyDescent="0.2">
      <c r="A160" s="58" t="s">
        <v>445</v>
      </c>
      <c r="B160" s="58" t="str">
        <f>VLOOKUP($A160,Questions!$A$3:$X$333,2,0)&amp;""</f>
        <v>Are redundant power strategies tested?*</v>
      </c>
      <c r="C160" s="58"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58" t="str">
        <f>VLOOKUP($A160,Questions!$A$3:$X$333,20,0)&amp;""</f>
        <v>Follow-up inquiries for redundant power testing details will be institution/implementation specific.</v>
      </c>
      <c r="E160" s="61"/>
    </row>
    <row r="161" spans="1:5" ht="53.25" customHeight="1" x14ac:dyDescent="0.2">
      <c r="A161" s="58" t="s">
        <v>450</v>
      </c>
      <c r="B161" s="58" t="str">
        <f>VLOOKUP($A161,Questions!$A$3:$X$333,2,0)&amp;""</f>
        <v>Does the center where the data will reside have cooling and fire-suppression systems that are active and regularly tested?</v>
      </c>
      <c r="C161" s="58"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58" t="str">
        <f>VLOOKUP($A161,Questions!$A$3:$X$333,20,0)&amp;""</f>
        <v>Follow-up inquiries for cooling and fire suppression systems will be institution/implementation specific.</v>
      </c>
    </row>
    <row r="162" spans="1:5" ht="52.5" customHeight="1" x14ac:dyDescent="0.2">
      <c r="A162" s="58" t="s">
        <v>453</v>
      </c>
      <c r="B162" s="58" t="str">
        <f>VLOOKUP($A162,Questions!$A$3:$X$333,2,0)&amp;""</f>
        <v>Do you have Internet Service Provider (ISP) redundancy?</v>
      </c>
      <c r="C162" s="58" t="str">
        <f>VLOOKUP($A162,Questions!$A$3:$X$333,19,0)&amp;""</f>
        <v>In the context of the CIA triad, this question is focused on the availability of a system (or set of systems).</v>
      </c>
      <c r="D162" s="58" t="str">
        <f>VLOOKUP($A162,Questions!$A$3:$X$333,20,0)&amp;""</f>
        <v>The weight placed on the solution provider's response will be specific to the institution's use case and solution requirements.</v>
      </c>
    </row>
    <row r="163" spans="1:5" ht="39" customHeight="1" x14ac:dyDescent="0.2">
      <c r="A163" s="58" t="s">
        <v>457</v>
      </c>
      <c r="B163" s="58" t="str">
        <f>VLOOKUP($A163,Questions!$A$3:$X$333,2,0)&amp;""</f>
        <v>Does every data center where the institution's data will reside have multiple telephone company or network provider entrances to the facility?</v>
      </c>
      <c r="C163" s="58" t="str">
        <f>VLOOKUP($A163,Questions!$A$3:$X$333,19,0)&amp;""</f>
        <v>In the context of the CIA triad, this question is focused on the availability of a system (or set of systems).</v>
      </c>
      <c r="D163" s="58" t="str">
        <f>VLOOKUP($A163,Questions!$A$3:$X$333,20,0)&amp;""</f>
        <v>The weight placed on the solution provider's response will be specific to the institution's use case and solution requirements.</v>
      </c>
    </row>
    <row r="164" spans="1:5" ht="56.25" customHeight="1" x14ac:dyDescent="0.2">
      <c r="A164" s="58" t="s">
        <v>459</v>
      </c>
      <c r="B164" s="58" t="str">
        <f>VLOOKUP($A164,Questions!$A$3:$X$333,2,0)&amp;""</f>
        <v>Do you require multifactor authentication for all administrative accounts in your environment?</v>
      </c>
      <c r="C164" s="58" t="str">
        <f>VLOOKUP($A164,Questions!$A$3:$X$333,19,0)&amp;""</f>
        <v>2FA/MFA, implemented correctly, strengthens the security state of a system. 2FA/MFA is commonly implemented and in many use cases is a requirement for account protection purposes.</v>
      </c>
      <c r="D164" s="58" t="str">
        <f>VLOOKUP($A164,Questions!$A$3:$X$333,20,0)&amp;""</f>
        <v>Ask the solution provider about hardware and software options, future roadmap for implementations and support, etc.</v>
      </c>
    </row>
    <row r="165" spans="1:5" ht="51" customHeight="1" x14ac:dyDescent="0.2">
      <c r="A165" s="58" t="s">
        <v>463</v>
      </c>
      <c r="B165" s="58" t="str">
        <f>VLOOKUP($A165,Questions!$A$3:$X$333,2,0)&amp;""</f>
        <v>Are you using your cloud provider's available hardening tools or pre-hardened images?</v>
      </c>
      <c r="C165" s="58" t="str">
        <f>VLOOKUP($A165,Questions!$A$3:$X$333,19,0)&amp;""</f>
        <v>In the context of the CIA triad, this question is focused on the integrity of a system (or set of systems).</v>
      </c>
      <c r="D165" s="58" t="str">
        <f>VLOOKUP($A165,Questions!$A$3:$X$333,20,0)&amp;""</f>
        <v>Ask the solution provider about their system lifecycle practices and security methodology.</v>
      </c>
    </row>
    <row r="166" spans="1:5" ht="83.25" customHeight="1" x14ac:dyDescent="0.2">
      <c r="A166" s="58" t="s">
        <v>467</v>
      </c>
      <c r="B166" s="58" t="str">
        <f>VLOOKUP($A166,Questions!$A$3:$X$333,2,0)&amp;""</f>
        <v>Does your cloud solution provider have access to your encryption keys?</v>
      </c>
      <c r="C166" s="58"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58" t="str">
        <f>VLOOKUP($A166,Questions!$A$3:$X$333,20,0)&amp;""</f>
        <v>Follow up with the solution provider to ensure that all components of the system are considered. This includes system-to-system, system-to-client, applications, system accounts, etc.</v>
      </c>
      <c r="E166" s="61"/>
    </row>
    <row r="167" spans="1:5" ht="18" x14ac:dyDescent="0.2">
      <c r="A167" s="64" t="str">
        <f>VLOOKUP(LEFT($A168,4),'Auto Responses'!$N$4:$O$38,2,0)&amp;""</f>
        <v xml:space="preserve"> Firewalls, IDS, IPS, and Networking</v>
      </c>
      <c r="B167" s="64"/>
      <c r="C167" s="57" t="str">
        <f>Questions!$S$2</f>
        <v>Reason for Question</v>
      </c>
      <c r="D167" s="57" t="str">
        <f>Questions!$T$2</f>
        <v>Follow-Up Inquiries/Responses</v>
      </c>
    </row>
    <row r="168" spans="1:5" ht="42.75" x14ac:dyDescent="0.2">
      <c r="A168" s="58" t="s">
        <v>473</v>
      </c>
      <c r="B168" s="58" t="str">
        <f>VLOOKUP($A168,Questions!$A$3:$X$333,2,0)&amp;""</f>
        <v>Are you utilizing a stateful packet inspection (SPI) firewall?*</v>
      </c>
      <c r="C168" s="58"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58" t="str">
        <f>VLOOKUP($A168,Questions!$A$3:$X$333,20,0)&amp;""</f>
        <v>Follow-up inquiries for firewall capabilities will be institution/implementation specific.</v>
      </c>
    </row>
    <row r="169" spans="1:5" ht="63.75" customHeight="1" x14ac:dyDescent="0.2">
      <c r="A169" s="58" t="s">
        <v>476</v>
      </c>
      <c r="B169" s="58" t="str">
        <f>VLOOKUP($A169,Questions!$A$3:$X$333,2,0)&amp;""</f>
        <v>Do you have a documented policy for firewall change requests?*</v>
      </c>
      <c r="C169" s="58"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58" t="str">
        <f>VLOOKUP($A169,Questions!$A$3:$X$333,20,0)&amp;""</f>
        <v>Follow-up inquiries for firewall change requests will be institution/implementation specific.</v>
      </c>
      <c r="E169" s="52"/>
    </row>
    <row r="170" spans="1:5" ht="71.25" customHeight="1" x14ac:dyDescent="0.2">
      <c r="A170" s="58" t="s">
        <v>481</v>
      </c>
      <c r="B170" s="58" t="str">
        <f>VLOOKUP($A170,Questions!$A$3:$X$333,2,0)&amp;""</f>
        <v>Have you implemented an intrusion detection system (network-based)?*</v>
      </c>
      <c r="C170" s="58"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58"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59"/>
    </row>
    <row r="171" spans="1:5" ht="72" customHeight="1" x14ac:dyDescent="0.2">
      <c r="A171" s="58" t="s">
        <v>486</v>
      </c>
      <c r="B171" s="58" t="str">
        <f>VLOOKUP($A171,Questions!$A$3:$X$333,2,0)&amp;""</f>
        <v>Do you employ host-based intrusion detection?*</v>
      </c>
      <c r="C171" s="58"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58"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2">
      <c r="A172" s="58" t="s">
        <v>489</v>
      </c>
      <c r="B172" s="58" t="str">
        <f>VLOOKUP($A172,Questions!$A$3:$X$333,2,0)&amp;""</f>
        <v>Are audit logs available for all changes to the network, firewall, IDS, and IPS systems?*</v>
      </c>
      <c r="C172" s="58" t="str">
        <f>VLOOKUP($A172,Questions!$A$3:$X$333,19,0)&amp;""</f>
        <v>Strong logging capabilities are vital to the proper management of a network. Implementing an immature system that lacks sufficient logging capabilities exposes an institution to great risk.</v>
      </c>
      <c r="D172" s="58"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2">
      <c r="A173" s="58" t="s">
        <v>491</v>
      </c>
      <c r="B173" s="58" t="str">
        <f>VLOOKUP($A173,Questions!$A$3:$X$333,2,0)&amp;""</f>
        <v>Is authority for firewall change approval documented? Please list approver names or titles in Additional Info.</v>
      </c>
      <c r="C173" s="58" t="str">
        <f>VLOOKUP($A173,Questions!$A$3:$X$333,19,0)&amp;""</f>
        <v>Modifications to firewall rule sets can have significant repercussions. To ensure the integrity of the rule set, this question targets the individual (or responsible party) for changes and the reasoning behind their authority.</v>
      </c>
      <c r="D173" s="58"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2">
      <c r="A174" s="58" t="s">
        <v>493</v>
      </c>
      <c r="B174" s="58" t="str">
        <f>VLOOKUP($A174,Questions!$A$3:$X$333,2,0)&amp;""</f>
        <v>Have you implemented an intrusion prevention system (network-based)?</v>
      </c>
      <c r="C174" s="58"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58"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2">
      <c r="A175" s="58" t="s">
        <v>496</v>
      </c>
      <c r="B175" s="58" t="str">
        <f>VLOOKUP($A175,Questions!$A$3:$X$333,2,0)&amp;""</f>
        <v>Do you employ host-based intrusion prevention?</v>
      </c>
      <c r="C175" s="58"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58"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2">
      <c r="A176" s="58" t="s">
        <v>501</v>
      </c>
      <c r="B176" s="58" t="str">
        <f>VLOOKUP($A176,Questions!$A$3:$X$333,2,0)&amp;""</f>
        <v>Are you employing any next-generation persistent threat (NGPT) monitoring?</v>
      </c>
      <c r="C176" s="58"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58" t="str">
        <f>VLOOKUP($A176,Questions!$A$3:$X$333,20,0)&amp;""</f>
        <v>Follow-up inquiries for next-generation persistent threat monitoring will be institution/implementation specific.</v>
      </c>
    </row>
    <row r="177" spans="1:5" ht="70.5" customHeight="1" x14ac:dyDescent="0.2">
      <c r="A177" s="58" t="s">
        <v>506</v>
      </c>
      <c r="B177" s="58" t="str">
        <f>VLOOKUP($A177,Questions!$A$3:$X$333,2,0)&amp;""</f>
        <v>Is intrusion monitoring performed internally or by a third-party service?</v>
      </c>
      <c r="C177" s="58"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58" t="str">
        <f>VLOOKUP($A177,Questions!$A$3:$X$333,20,0)&amp;""</f>
        <v>Follow-up inquiries for intrusion monitoring will be institution/implementation specific.</v>
      </c>
    </row>
    <row r="178" spans="1:5" ht="63.75" customHeight="1" x14ac:dyDescent="0.2">
      <c r="A178" s="58" t="s">
        <v>510</v>
      </c>
      <c r="B178" s="58" t="str">
        <f>VLOOKUP($A178,Questions!$A$3:$X$333,2,0)&amp;""</f>
        <v>Do you monitor for intrusions on a 24 x 7 x 365 basis?</v>
      </c>
      <c r="C178" s="58"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58" t="str">
        <f>VLOOKUP($A178,Questions!$A$3:$X$333,20,0)&amp;""</f>
        <v>Follow-up inquiries for 24 x 7 x 365 monitoring will be institution/implementation specific.</v>
      </c>
      <c r="E178" s="242" t="s">
        <v>1510</v>
      </c>
    </row>
    <row r="179" spans="1:5" ht="18" x14ac:dyDescent="0.2">
      <c r="A179" s="64" t="str">
        <f>VLOOKUP(LEFT($A180,4),'Auto Responses'!$N$4:$O$38,2,0)&amp;""</f>
        <v xml:space="preserve"> Policies, Processes, and Procedures</v>
      </c>
      <c r="B179" s="64"/>
      <c r="C179" s="57" t="str">
        <f>Questions!$S$2</f>
        <v>Reason for Question</v>
      </c>
      <c r="D179" s="57" t="str">
        <f>Questions!$T$2</f>
        <v>Follow-Up Inquiries/Responses</v>
      </c>
    </row>
    <row r="180" spans="1:5" ht="69" customHeight="1" x14ac:dyDescent="0.2">
      <c r="A180" s="58" t="s">
        <v>514</v>
      </c>
      <c r="B180" s="58" t="str">
        <f>VLOOKUP($A180,Questions!$A$3:$X$333,2,0)&amp;""</f>
        <v>Do you have a documented patch management process?*</v>
      </c>
      <c r="C180" s="58"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58"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2">
      <c r="A181" s="58" t="s">
        <v>515</v>
      </c>
      <c r="B181" s="58" t="str">
        <f>VLOOKUP($A181,Questions!$A$3:$X$333,2,0)&amp;""</f>
        <v>Can your organization comply with institutional policies on privacy and data protection with regard to users of institutional systems, if required?*</v>
      </c>
      <c r="C181" s="58" t="str">
        <f>VLOOKUP($A181,Questions!$A$3:$X$333,19,0)&amp;""</f>
        <v>This is a general inquiry to determine if the solution provider has reviewed the institution's policies and is committed to complying with them.</v>
      </c>
      <c r="D181" s="58" t="str">
        <f>VLOOKUP($A181,Questions!$A$3:$X$333,20,0)&amp;""</f>
        <v>If a solution provider is vague in their response, follow up with direct questions about the institution's policies and ensure the expectation of compliance is clear with the solution provider.</v>
      </c>
      <c r="E181" s="52"/>
    </row>
    <row r="182" spans="1:5" ht="43.5" customHeight="1" x14ac:dyDescent="0.2">
      <c r="A182" s="58" t="s">
        <v>517</v>
      </c>
      <c r="B182" s="58" t="str">
        <f>VLOOKUP($A182,Questions!$A$3:$X$333,2,0)&amp;""</f>
        <v>Is your company subject to the institution's geographic region's laws and regulations?*</v>
      </c>
      <c r="C182" s="58" t="str">
        <f>VLOOKUP($A182,Questions!$A$3:$X$333,19,0)&amp;""</f>
        <v>This is a general inquiry to determine if the solution provider is well-versed in applicable laws and regulations that apply in the institution's region of business operation.</v>
      </c>
      <c r="D182" s="58" t="str">
        <f>VLOOKUP($A182,Questions!$A$3:$X$333,20,0)&amp;""</f>
        <v>If a solution provider is vague in their response, follow up with direct questions about doing business in your state/region/country and any laws that are pertinent to the institution.</v>
      </c>
      <c r="E182" s="59"/>
    </row>
    <row r="183" spans="1:5" ht="65.25" customHeight="1" x14ac:dyDescent="0.2">
      <c r="A183" s="58" t="s">
        <v>521</v>
      </c>
      <c r="B183" s="58" t="str">
        <f>VLOOKUP($A183,Questions!$A$3:$X$333,2,0)&amp;""</f>
        <v>Can you accommodate encryption requirements using open standards?</v>
      </c>
      <c r="C183" s="58"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58"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2">
      <c r="A184" s="58" t="s">
        <v>525</v>
      </c>
      <c r="B184" s="58" t="str">
        <f>VLOOKUP($A184,Questions!$A$3:$X$333,2,0)&amp;""</f>
        <v>Do you have a documented systems development life cycle (SDLC)?</v>
      </c>
      <c r="C184" s="58" t="str">
        <f>VLOOKUP($A184,Questions!$A$3:$X$333,19,0)&amp;""</f>
        <v>Mature solution lifecycle management can position a solution provider to sufficiently plan, implement, and manage systems that better protect institutional data.</v>
      </c>
      <c r="D184" s="58"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2">
      <c r="A185" s="58" t="s">
        <v>529</v>
      </c>
      <c r="B185" s="58" t="str">
        <f>VLOOKUP($A185,Questions!$A$3:$X$333,2,0)&amp;""</f>
        <v>Do you perform background screenings or multi-state background checks on all employees prior to their first day of work?</v>
      </c>
      <c r="C185" s="58"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58"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2">
      <c r="A186" s="58" t="s">
        <v>532</v>
      </c>
      <c r="B186" s="58" t="str">
        <f>VLOOKUP($A186,Questions!$A$3:$X$333,2,0)&amp;""</f>
        <v>Do you require new employees to fill out agreements and review policies?</v>
      </c>
      <c r="C186" s="58"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58" t="str">
        <f>VLOOKUP($A186,Questions!$A$3:$X$333,20,0)&amp;""</f>
        <v>If a solution provider's practices are not clear, inquire about training requirements for employees, especially the frequency and scope of content.</v>
      </c>
    </row>
    <row r="187" spans="1:5" ht="141.75" customHeight="1" x14ac:dyDescent="0.2">
      <c r="A187" s="58" t="s">
        <v>534</v>
      </c>
      <c r="B187" s="58" t="str">
        <f>VLOOKUP($A187,Questions!$A$3:$X$333,2,0)&amp;""</f>
        <v>Do you have a documented information security policy?</v>
      </c>
      <c r="C187" s="58"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58"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2">
      <c r="A188" s="58" t="s">
        <v>538</v>
      </c>
      <c r="B188" s="58" t="str">
        <f>VLOOKUP($A188,Questions!$A$3:$X$333,2,0)&amp;""</f>
        <v>Are information security principles designed into the product lifecycle?</v>
      </c>
      <c r="C188" s="58"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58"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2">
      <c r="A189" s="58" t="s">
        <v>543</v>
      </c>
      <c r="B189" s="58" t="str">
        <f>VLOOKUP($A189,Questions!$A$3:$X$333,2,0)&amp;""</f>
        <v>Will you comply with applicable breach notification laws?</v>
      </c>
      <c r="C189" s="58" t="str">
        <f>VLOOKUP($A189,Questions!$A$3:$X$333,19,0)&amp;""</f>
        <v>This is a general inquiry to determine if the solution provider is well-versed in applicable laws and regulations that apply in the institution's region of business operation.</v>
      </c>
      <c r="D189" s="58"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2">
      <c r="A190" s="58" t="s">
        <v>547</v>
      </c>
      <c r="B190" s="58" t="str">
        <f>VLOOKUP($A190,Questions!$A$3:$X$333,2,0)&amp;""</f>
        <v>Do you have an information security awareness program?</v>
      </c>
      <c r="C190" s="58"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58" t="str">
        <f>VLOOKUP($A190,Questions!$A$3:$X$333,20,0)&amp;""</f>
        <v>Follow-up inquiries for information security awareness programs will be institution/implementation specific.</v>
      </c>
      <c r="E190" s="61"/>
    </row>
    <row r="191" spans="1:5" ht="66.75" customHeight="1" x14ac:dyDescent="0.2">
      <c r="A191" s="58" t="s">
        <v>552</v>
      </c>
      <c r="B191" s="58" t="str">
        <f>VLOOKUP($A191,Questions!$A$3:$X$333,2,0)&amp;""</f>
        <v>Is security awareness training mandatory for all employees?</v>
      </c>
      <c r="C191" s="58"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58" t="str">
        <f>VLOOKUP($A191,Questions!$A$3:$X$333,20,0)&amp;""</f>
        <v>Follow-up inquiries for information security awareness programs will be institution/implementation specific.</v>
      </c>
    </row>
    <row r="192" spans="1:5" ht="66.75" customHeight="1" x14ac:dyDescent="0.2">
      <c r="A192" s="58" t="s">
        <v>556</v>
      </c>
      <c r="B192" s="58" t="str">
        <f>VLOOKUP($A192,Questions!$A$3:$X$333,2,0)&amp;""</f>
        <v>Do you have process and procedure(s) documented, and currently followed, that require a review and update of the access list(s) for privileged accounts?</v>
      </c>
      <c r="C192" s="58"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58" t="str">
        <f>VLOOKUP($A192,Questions!$A$3:$X$333,20,0)&amp;""</f>
        <v>Ask the solution provider to summarize their implemented policies and/or procedures.</v>
      </c>
    </row>
    <row r="193" spans="1:5" ht="71.25" customHeight="1" x14ac:dyDescent="0.2">
      <c r="A193" s="58" t="s">
        <v>560</v>
      </c>
      <c r="B193" s="58" t="str">
        <f>VLOOKUP($A193,Questions!$A$3:$X$333,2,0)&amp;""</f>
        <v>Do you have documented, and currently implemented, internal audit processes and procedures?</v>
      </c>
      <c r="C193" s="58"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58" t="str">
        <f>VLOOKUP($A193,Questions!$A$3:$X$333,20,0)&amp;""</f>
        <v>Follow-up inquiries for internal audit processes and procedures will be institution/implementation specific.</v>
      </c>
      <c r="E193" s="52"/>
    </row>
    <row r="194" spans="1:5" ht="44.25" customHeight="1" x14ac:dyDescent="0.2">
      <c r="A194" s="58" t="s">
        <v>565</v>
      </c>
      <c r="B194" s="58" t="str">
        <f>VLOOKUP($A194,Questions!$A$3:$X$333,2,0)&amp;""</f>
        <v>Does your organization have physical security controls and policies in place?</v>
      </c>
      <c r="C194" s="58" t="str">
        <f>VLOOKUP($A194,Questions!$A$3:$X$333,19,0)&amp;""</f>
        <v>This question aims to understand the physical security state of the solution provider's operating environment and whether or not physical assets are appropriately protected.</v>
      </c>
      <c r="D194" s="58" t="str">
        <f>VLOOKUP($A194,Questions!$A$3:$X$333,20,0)&amp;""</f>
        <v>Follow-up inquiries for physical security controls and policies will be institution/implementation specific.</v>
      </c>
      <c r="E194" s="242" t="s">
        <v>1510</v>
      </c>
    </row>
    <row r="195" spans="1:5" ht="18" x14ac:dyDescent="0.2">
      <c r="A195" s="64" t="str">
        <f>VLOOKUP(LEFT($A196,4),'Auto Responses'!$N$4:$O$38,2,0)&amp;""</f>
        <v xml:space="preserve"> Incident Handling</v>
      </c>
      <c r="B195" s="64"/>
      <c r="C195" s="57" t="str">
        <f>Questions!$S$2</f>
        <v>Reason for Question</v>
      </c>
      <c r="D195" s="57" t="str">
        <f>Questions!$T$2</f>
        <v>Follow-Up Inquiries/Responses</v>
      </c>
    </row>
    <row r="196" spans="1:5" ht="96.75" customHeight="1" x14ac:dyDescent="0.2">
      <c r="A196" s="58" t="s">
        <v>570</v>
      </c>
      <c r="B196" s="58" t="str">
        <f>VLOOKUP($A196,Questions!$A$3:$X$333,2,0)&amp;""</f>
        <v>Do you have a formal incident response plan?</v>
      </c>
      <c r="C196" s="58"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58"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2">
      <c r="A197" s="58" t="s">
        <v>574</v>
      </c>
      <c r="B197" s="58" t="str">
        <f>VLOOKUP($A197,Questions!$A$3:$X$333,2,0)&amp;""</f>
        <v>Do you either have an internal incident response team or retain an external team?</v>
      </c>
      <c r="C197" s="58"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58"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2">
      <c r="A198" s="58" t="s">
        <v>578</v>
      </c>
      <c r="B198" s="58" t="str">
        <f>VLOOKUP($A198,Questions!$A$3:$X$333,2,0)&amp;""</f>
        <v>Do you have the capability to respond to incidents on a 24 x 7 x 365 basis?</v>
      </c>
      <c r="C198" s="58"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58"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2">
      <c r="A199" s="58" t="s">
        <v>582</v>
      </c>
      <c r="B199" s="58" t="str">
        <f>VLOOKUP($A199,Questions!$A$3:$X$333,2,0)&amp;""</f>
        <v>Do you carry cyber-risk insurance to protect against unforeseen service outages, data that is lost or stolen, and security incidents?</v>
      </c>
      <c r="C199" s="58"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58" t="str">
        <f>VLOOKUP($A199,Questions!$A$3:$X$333,20,0)&amp;""</f>
        <v>If the solution provider does not have an incident response plan, point them to the NIST Computer Security Incident Handling Guide &lt;https://csrc.nist.gov/publications/detail/sp/800-61/rev-2/final&gt;.</v>
      </c>
      <c r="E199" s="242" t="s">
        <v>1510</v>
      </c>
    </row>
    <row r="200" spans="1:5" ht="18" x14ac:dyDescent="0.2">
      <c r="A200" s="64" t="str">
        <f>VLOOKUP(LEFT($A201,4),'Auto Responses'!$N$4:$O$38,2,0)&amp;""</f>
        <v xml:space="preserve"> Vulnerability Management</v>
      </c>
      <c r="B200" s="64"/>
      <c r="C200" s="57" t="str">
        <f>Questions!$S$2</f>
        <v>Reason for Question</v>
      </c>
      <c r="D200" s="57" t="str">
        <f>Questions!$T$2</f>
        <v>Follow-Up Inquiries/Responses</v>
      </c>
    </row>
    <row r="201" spans="1:5" ht="57" x14ac:dyDescent="0.2">
      <c r="A201" s="58" t="s">
        <v>585</v>
      </c>
      <c r="B201" s="58" t="str">
        <f>VLOOKUP($A201,Questions!$A$3:$X$333,2,0)&amp;""</f>
        <v>Are your systems and applications scanned with an authenticated user account for vulnerabilities (that are remediated) prior to new releases?*</v>
      </c>
      <c r="C201" s="58"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58"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2">
      <c r="A202" s="58" t="s">
        <v>589</v>
      </c>
      <c r="B202" s="58" t="str">
        <f>VLOOKUP($A202,Questions!$A$3:$X$333,2,0)&amp;""</f>
        <v>Will you provide results of application and system vulnerability scans to the institution?*</v>
      </c>
      <c r="C202" s="58" t="str">
        <f>VLOOKUP($A202,Questions!$A$3:$X$333,19,0)&amp;""</f>
        <v>If a solution provider is scanning its applications and/or systems, oftentimes an institution will want to review the report, if possible. Preferably, any finding on the reports will have a matching mitigation action.</v>
      </c>
      <c r="D202" s="58" t="str">
        <f>VLOOKUP($A202,Questions!$A$3:$X$333,20,0)&amp;""</f>
        <v>If a solution provider is hesitant to share the report, ask for a summarized version; some insight is better than none.</v>
      </c>
    </row>
    <row r="203" spans="1:5" ht="66" customHeight="1" x14ac:dyDescent="0.2">
      <c r="A203" s="58" t="s">
        <v>593</v>
      </c>
      <c r="B203" s="58" t="str">
        <f>VLOOKUP($A203,Questions!$A$3:$X$333,2,0)&amp;""</f>
        <v>Will you allow the institution to perform its own vulnerability testing and/or scanning of your systems and/or application, provided that testing is performed at a mutually agreed upon time and date?*</v>
      </c>
      <c r="C203" s="58"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58" t="str">
        <f>VLOOKUP($A203,Questions!$A$3:$X$333,20,0)&amp;""</f>
        <v>Follow-up inquiries for vulnerability scanning and penetration testing will be institution/implementation specific.</v>
      </c>
    </row>
    <row r="204" spans="1:5" ht="98.25" customHeight="1" x14ac:dyDescent="0.2">
      <c r="A204" s="58" t="s">
        <v>596</v>
      </c>
      <c r="B204" s="58" t="str">
        <f>VLOOKUP($A204,Questions!$A$3:$X$333,2,0)&amp;""</f>
        <v>Have your systems and applications had a third-party security assessment completed in the last year?</v>
      </c>
      <c r="C204" s="58"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58"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2">
      <c r="A205" s="58" t="s">
        <v>599</v>
      </c>
      <c r="B205" s="58" t="str">
        <f>VLOOKUP($A205,Questions!$A$3:$X$333,2,0)&amp;""</f>
        <v>Do you regularly scan for common web application security vulnerabilities (e.g., SQL injection, XSS, XSRF, etc.)?</v>
      </c>
      <c r="C205" s="58"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58"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2">
      <c r="A206" s="58" t="s">
        <v>601</v>
      </c>
      <c r="B206" s="58" t="str">
        <f>VLOOKUP($A206,Questions!$A$3:$X$333,2,0)&amp;""</f>
        <v>Are your systems and applications regularly scanned externally for vulnerabilities?</v>
      </c>
      <c r="C206" s="58"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58"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42" t="s">
        <v>1510</v>
      </c>
    </row>
    <row r="207" spans="1:5" ht="18" x14ac:dyDescent="0.2">
      <c r="A207" s="64" t="str">
        <f>VLOOKUP(LEFT($A208,4),'Auto Responses'!$N$4:$O$38,2,0)&amp;""</f>
        <v xml:space="preserve">HIPAA Compliance </v>
      </c>
      <c r="B207" s="64"/>
      <c r="C207" s="57" t="str">
        <f>Questions!$S$2</f>
        <v>Reason for Question</v>
      </c>
      <c r="D207" s="57" t="str">
        <f>Questions!$T$2</f>
        <v>Follow-Up Inquiries/Responses</v>
      </c>
    </row>
    <row r="208" spans="1:5" ht="50.25" customHeight="1" x14ac:dyDescent="0.2">
      <c r="A208" s="58" t="s">
        <v>604</v>
      </c>
      <c r="B208" s="58" t="str">
        <f>VLOOKUP($A208,Questions!$A$3:$X$333,2,0)&amp;""</f>
        <v>Do your workforce members receive regular training related to the Health Insurance Portability and Accountability Act (HIPAA) Privacy and Security Rules and the HITECH Act?*</v>
      </c>
      <c r="C208" s="58" t="str">
        <f>VLOOKUP($A208,Questions!$A$3:$X$333,19,0)&amp;""</f>
        <v>HIPAA</v>
      </c>
      <c r="D208" s="58" t="str">
        <f>VLOOKUP($A208,Questions!$A$3:$X$333,20,0)&amp;""</f>
        <v>Refer to HIPAA documentation or your institution's Chief HIPAA Security Officer.</v>
      </c>
      <c r="E208" s="61"/>
    </row>
    <row r="209" spans="1:5" ht="27" customHeight="1" x14ac:dyDescent="0.2">
      <c r="A209" s="58" t="s">
        <v>609</v>
      </c>
      <c r="B209" s="58" t="str">
        <f>VLOOKUP($A209,Questions!$A$3:$X$333,2,0)&amp;""</f>
        <v>Have you identified areas of risk?*</v>
      </c>
      <c r="C209" s="58" t="str">
        <f>VLOOKUP($A209,Questions!$A$3:$X$333,19,0)&amp;""</f>
        <v>HIPAA</v>
      </c>
      <c r="D209" s="58" t="str">
        <f>VLOOKUP($A209,Questions!$A$3:$X$333,20,0)&amp;""</f>
        <v>Refer to HIPAA documentation or your institution's Chief HIPAA Security Officer.</v>
      </c>
      <c r="E209" s="61"/>
    </row>
    <row r="210" spans="1:5" ht="26.25" customHeight="1" x14ac:dyDescent="0.2">
      <c r="A210" s="58" t="s">
        <v>611</v>
      </c>
      <c r="B210" s="58" t="str">
        <f>VLOOKUP($A210,Questions!$A$3:$X$333,2,0)&amp;""</f>
        <v>Have the relevant policies/plans been tested?*</v>
      </c>
      <c r="C210" s="58" t="str">
        <f>VLOOKUP($A210,Questions!$A$3:$X$333,19,0)&amp;""</f>
        <v>HIPAA</v>
      </c>
      <c r="D210" s="58" t="str">
        <f>VLOOKUP($A210,Questions!$A$3:$X$333,20,0)&amp;""</f>
        <v>Refer to HIPAA documentation or your institution's Chief HIPAA Security Officer.</v>
      </c>
      <c r="E210" s="59"/>
    </row>
    <row r="211" spans="1:5" ht="50.25" customHeight="1" x14ac:dyDescent="0.2">
      <c r="A211" s="58" t="s">
        <v>613</v>
      </c>
      <c r="B211" s="58" t="str">
        <f>VLOOKUP($A211,Questions!$A$3:$X$333,2,0)&amp;""</f>
        <v>Have you entered into a Business Associate Agreements with all subcontractors who may have access to protected health information (PHI)?*</v>
      </c>
      <c r="C211" s="58" t="str">
        <f>VLOOKUP($A211,Questions!$A$3:$X$333,19,0)&amp;""</f>
        <v>HIPAA</v>
      </c>
      <c r="D211" s="58" t="str">
        <f>VLOOKUP($A211,Questions!$A$3:$X$333,20,0)&amp;""</f>
        <v>Refer to HIPAA documentation or your institution's Chief HIPAA Security Officer.</v>
      </c>
    </row>
    <row r="212" spans="1:5" ht="36" customHeight="1" x14ac:dyDescent="0.2">
      <c r="A212" s="58" t="s">
        <v>615</v>
      </c>
      <c r="B212" s="58" t="str">
        <f>VLOOKUP($A212,Questions!$A$3:$X$333,2,0)&amp;""</f>
        <v>Do you monitor or receive information regarding changes in HIPAA regulations?</v>
      </c>
      <c r="C212" s="58" t="str">
        <f>VLOOKUP($A212,Questions!$A$3:$X$333,19,0)&amp;""</f>
        <v>HIPAA</v>
      </c>
      <c r="D212" s="58" t="str">
        <f>VLOOKUP($A212,Questions!$A$3:$X$333,20,0)&amp;""</f>
        <v>Refer to HIPAA documentation or your institution's Chief HIPAA Security Officer.</v>
      </c>
      <c r="E212" s="61"/>
    </row>
    <row r="213" spans="1:5" ht="36.75" customHeight="1" x14ac:dyDescent="0.2">
      <c r="A213" s="58" t="s">
        <v>616</v>
      </c>
      <c r="B213" s="58" t="str">
        <f>VLOOKUP($A213,Questions!$A$3:$X$333,2,0)&amp;""</f>
        <v>Has your organization designated HIPAA Privacy and Security officers as required by the rules?</v>
      </c>
      <c r="C213" s="58" t="str">
        <f>VLOOKUP($A213,Questions!$A$3:$X$333,19,0)&amp;""</f>
        <v>HIPAA</v>
      </c>
      <c r="D213" s="58" t="str">
        <f>VLOOKUP($A213,Questions!$A$3:$X$333,20,0)&amp;""</f>
        <v>Refer to HIPAA documentation or your institution's Chief HIPAA Security Officer.</v>
      </c>
      <c r="E213" s="61"/>
    </row>
    <row r="214" spans="1:5" ht="42" customHeight="1" x14ac:dyDescent="0.2">
      <c r="A214" s="58" t="s">
        <v>617</v>
      </c>
      <c r="B214" s="58" t="str">
        <f>VLOOKUP($A214,Questions!$A$3:$X$333,2,0)&amp;""</f>
        <v>Do you comply with the requirements of the Health Information Technology for Economic and Clinical Health Act (HITECH)?</v>
      </c>
      <c r="C214" s="58" t="str">
        <f>VLOOKUP($A214,Questions!$A$3:$X$333,19,0)&amp;""</f>
        <v>HIPAA</v>
      </c>
      <c r="D214" s="58" t="str">
        <f>VLOOKUP($A214,Questions!$A$3:$X$333,20,0)&amp;""</f>
        <v>Refer to HIPAA documentation or your institution's Chief HIPAA Security Officer.</v>
      </c>
      <c r="E214" s="61"/>
    </row>
    <row r="215" spans="1:5" ht="40.5" customHeight="1" x14ac:dyDescent="0.2">
      <c r="A215" s="58" t="s">
        <v>619</v>
      </c>
      <c r="B215" s="58" t="str">
        <f>VLOOKUP($A215,Questions!$A$3:$X$333,2,0)&amp;""</f>
        <v>Have you conducted a risk analysis as required under the HIPAA Security Rule?</v>
      </c>
      <c r="C215" s="58" t="str">
        <f>VLOOKUP($A215,Questions!$A$3:$X$333,19,0)&amp;""</f>
        <v>HIPAA</v>
      </c>
      <c r="D215" s="58" t="str">
        <f>VLOOKUP($A215,Questions!$A$3:$X$333,20,0)&amp;""</f>
        <v>Refer to HIPAA documentation or your institution's Chief HIPAA Security Officer.</v>
      </c>
      <c r="E215" s="59"/>
    </row>
    <row r="216" spans="1:5" ht="25.5" customHeight="1" x14ac:dyDescent="0.2">
      <c r="A216" s="58" t="s">
        <v>621</v>
      </c>
      <c r="B216" s="58" t="str">
        <f>VLOOKUP($A216,Questions!$A$3:$X$333,2,0)&amp;""</f>
        <v>Have you taken actions to mitigate the identified risks?</v>
      </c>
      <c r="C216" s="58" t="str">
        <f>VLOOKUP($A216,Questions!$A$3:$X$333,19,0)&amp;""</f>
        <v>HIPAA</v>
      </c>
      <c r="D216" s="58" t="str">
        <f>VLOOKUP($A216,Questions!$A$3:$X$333,20,0)&amp;""</f>
        <v>Refer to HIPAA documentation or your institution's Chief HIPAA Security Officer.</v>
      </c>
    </row>
    <row r="217" spans="1:5" ht="39.75" customHeight="1" x14ac:dyDescent="0.2">
      <c r="A217" s="58" t="s">
        <v>623</v>
      </c>
      <c r="B217" s="58" t="str">
        <f>VLOOKUP($A217,Questions!$A$3:$X$333,2,0)&amp;""</f>
        <v>Does your application require user and system administrator password changes at a frequency no greater than 90 days?</v>
      </c>
      <c r="C217" s="58" t="str">
        <f>VLOOKUP($A217,Questions!$A$3:$X$333,19,0)&amp;""</f>
        <v>HIPAA</v>
      </c>
      <c r="D217" s="58" t="str">
        <f>VLOOKUP($A217,Questions!$A$3:$X$333,20,0)&amp;""</f>
        <v>Refer to HIPAA documentation or your institution's Chief HIPAA Security Officer.</v>
      </c>
    </row>
    <row r="218" spans="1:5" ht="42.75" customHeight="1" x14ac:dyDescent="0.2">
      <c r="A218" s="58" t="s">
        <v>625</v>
      </c>
      <c r="B218" s="58" t="str">
        <f>VLOOKUP($A218,Questions!$A$3:$X$333,2,0)&amp;""</f>
        <v>Does your application require users to set their own password after an administrator reset or on first use of the account?</v>
      </c>
      <c r="C218" s="58" t="str">
        <f>VLOOKUP($A218,Questions!$A$3:$X$333,19,0)&amp;""</f>
        <v>HIPAA</v>
      </c>
      <c r="D218" s="58" t="str">
        <f>VLOOKUP($A218,Questions!$A$3:$X$333,20,0)&amp;""</f>
        <v>Refer to HIPAA documentation or your institution's Chief HIPAA Security Officer.</v>
      </c>
    </row>
    <row r="219" spans="1:5" ht="39.75" customHeight="1" x14ac:dyDescent="0.2">
      <c r="A219" s="58" t="s">
        <v>627</v>
      </c>
      <c r="B219" s="58" t="str">
        <f>VLOOKUP($A219,Questions!$A$3:$X$333,2,0)&amp;""</f>
        <v>Does your application lock out an account after a number of failed login attempts?</v>
      </c>
      <c r="C219" s="58" t="str">
        <f>VLOOKUP($A219,Questions!$A$3:$X$333,19,0)&amp;""</f>
        <v>HIPAA</v>
      </c>
      <c r="D219" s="58" t="str">
        <f>VLOOKUP($A219,Questions!$A$3:$X$333,20,0)&amp;""</f>
        <v>Refer to HIPAA documentation or your institution's Chief HIPAA Security Officer.</v>
      </c>
    </row>
    <row r="220" spans="1:5" ht="39.75" customHeight="1" x14ac:dyDescent="0.2">
      <c r="A220" s="58" t="s">
        <v>629</v>
      </c>
      <c r="B220" s="58" t="str">
        <f>VLOOKUP($A220,Questions!$A$3:$X$333,2,0)&amp;""</f>
        <v>Does your application automatically lock or log-out an account after a period of inactivity?</v>
      </c>
      <c r="C220" s="58" t="str">
        <f>VLOOKUP($A220,Questions!$A$3:$X$333,19,0)&amp;""</f>
        <v>HIPAA</v>
      </c>
      <c r="D220" s="58" t="str">
        <f>VLOOKUP($A220,Questions!$A$3:$X$333,20,0)&amp;""</f>
        <v>Refer to HIPAA documentation or your institution's Chief HIPAA Security Officer.</v>
      </c>
    </row>
    <row r="221" spans="1:5" ht="40.5" customHeight="1" x14ac:dyDescent="0.2">
      <c r="A221" s="58" t="s">
        <v>631</v>
      </c>
      <c r="B221" s="58" t="str">
        <f>VLOOKUP($A221,Questions!$A$3:$X$333,2,0)&amp;""</f>
        <v>Are passwords visible in plain text, whether when stored or entered, including service level accounts (i.e., database accounts, etc.)?</v>
      </c>
      <c r="C221" s="58" t="str">
        <f>VLOOKUP($A221,Questions!$A$3:$X$333,19,0)&amp;""</f>
        <v>HIPAA</v>
      </c>
      <c r="D221" s="58" t="str">
        <f>VLOOKUP($A221,Questions!$A$3:$X$333,20,0)&amp;""</f>
        <v>Refer to HIPAA documentation or your institution's Chief HIPAA Security Officer.</v>
      </c>
      <c r="E221" s="52"/>
    </row>
    <row r="222" spans="1:5" ht="39" customHeight="1" x14ac:dyDescent="0.2">
      <c r="A222" s="58" t="s">
        <v>633</v>
      </c>
      <c r="B222" s="58" t="str">
        <f>VLOOKUP($A222,Questions!$A$3:$X$333,2,0)&amp;""</f>
        <v>If the application is institution-hosted, can all service level and administrative account passwords be changed by the institution?</v>
      </c>
      <c r="C222" s="58" t="str">
        <f>VLOOKUP($A222,Questions!$A$3:$X$333,19,0)&amp;""</f>
        <v>HIPAA</v>
      </c>
      <c r="D222" s="58" t="str">
        <f>VLOOKUP($A222,Questions!$A$3:$X$333,20,0)&amp;""</f>
        <v>Refer to HIPAA documentation or your institution's Chief HIPAA Security Officer.</v>
      </c>
    </row>
    <row r="223" spans="1:5" ht="23.25" customHeight="1" x14ac:dyDescent="0.2">
      <c r="A223" s="58" t="s">
        <v>635</v>
      </c>
      <c r="B223" s="58" t="str">
        <f>VLOOKUP($A223,Questions!$A$3:$X$333,2,0)&amp;""</f>
        <v>Does your application provide the ability to define user access levels?</v>
      </c>
      <c r="C223" s="58" t="str">
        <f>VLOOKUP($A223,Questions!$A$3:$X$333,19,0)&amp;""</f>
        <v>HIPAA</v>
      </c>
      <c r="D223" s="58" t="str">
        <f>VLOOKUP($A223,Questions!$A$3:$X$333,20,0)&amp;""</f>
        <v>Refer to HIPAA documentation or your institution's Chief HIPAA Security Officer.</v>
      </c>
    </row>
    <row r="224" spans="1:5" ht="39.75" customHeight="1" x14ac:dyDescent="0.2">
      <c r="A224" s="58" t="s">
        <v>637</v>
      </c>
      <c r="B224" s="58" t="str">
        <f>VLOOKUP($A224,Questions!$A$3:$X$333,2,0)&amp;""</f>
        <v>Does your application support varying levels of access to administrative tasks defined individually per user?</v>
      </c>
      <c r="C224" s="58" t="str">
        <f>VLOOKUP($A224,Questions!$A$3:$X$333,19,0)&amp;""</f>
        <v>HIPAA</v>
      </c>
      <c r="D224" s="58" t="str">
        <f>VLOOKUP($A224,Questions!$A$3:$X$333,20,0)&amp;""</f>
        <v>Refer to HIPAA documentation or your institution's Chief HIPAA Security Officer.</v>
      </c>
    </row>
    <row r="225" spans="1:5" ht="38.25" customHeight="1" x14ac:dyDescent="0.2">
      <c r="A225" s="58" t="s">
        <v>639</v>
      </c>
      <c r="B225" s="58" t="str">
        <f>VLOOKUP($A225,Questions!$A$3:$X$333,2,0)&amp;""</f>
        <v>Does your application support varying levels of access to records based on user ID?</v>
      </c>
      <c r="C225" s="58" t="str">
        <f>VLOOKUP($A225,Questions!$A$3:$X$333,19,0)&amp;""</f>
        <v>HIPAA</v>
      </c>
      <c r="D225" s="58" t="str">
        <f>VLOOKUP($A225,Questions!$A$3:$X$333,20,0)&amp;""</f>
        <v>Refer to HIPAA documentation or your institution's Chief HIPAA Security Officer.</v>
      </c>
    </row>
    <row r="226" spans="1:5" ht="36" customHeight="1" x14ac:dyDescent="0.2">
      <c r="A226" s="58" t="s">
        <v>640</v>
      </c>
      <c r="B226" s="58" t="str">
        <f>VLOOKUP($A226,Questions!$A$3:$X$333,2,0)&amp;""</f>
        <v>Is there a limit to the number of groups to which a user can be assigned?</v>
      </c>
      <c r="C226" s="58" t="str">
        <f>VLOOKUP($A226,Questions!$A$3:$X$333,19,0)&amp;""</f>
        <v>HIPAA</v>
      </c>
      <c r="D226" s="58" t="str">
        <f>VLOOKUP($A226,Questions!$A$3:$X$333,20,0)&amp;""</f>
        <v>Refer to HIPAA documentation or your institution's Chief HIPAA Security Officer.</v>
      </c>
    </row>
    <row r="227" spans="1:5" ht="42.75" x14ac:dyDescent="0.2">
      <c r="A227" s="58" t="s">
        <v>642</v>
      </c>
      <c r="B227" s="58" t="str">
        <f>VLOOKUP($A227,Questions!$A$3:$X$333,2,0)&amp;""</f>
        <v>Do accounts used for solution provider-supplied remote support abide by the same authentication policies and access logging as the rest of the system?</v>
      </c>
      <c r="C227" s="58" t="str">
        <f>VLOOKUP($A227,Questions!$A$3:$X$333,19,0)&amp;""</f>
        <v>HIPAA</v>
      </c>
      <c r="D227" s="58" t="str">
        <f>VLOOKUP($A227,Questions!$A$3:$X$333,20,0)&amp;""</f>
        <v>Refer to HIPAA documentation or your institution's Chief HIPAA Security Officer.</v>
      </c>
    </row>
    <row r="228" spans="1:5" ht="34.5" customHeight="1" x14ac:dyDescent="0.2">
      <c r="A228" s="58" t="s">
        <v>643</v>
      </c>
      <c r="B228" s="58" t="str">
        <f>VLOOKUP($A228,Questions!$A$3:$X$333,2,0)&amp;""</f>
        <v>Does the application log record access including specific user, date/time of access, and originating IP or device?</v>
      </c>
      <c r="C228" s="58" t="str">
        <f>VLOOKUP($A228,Questions!$A$3:$X$333,19,0)&amp;""</f>
        <v>HIPAA</v>
      </c>
      <c r="D228" s="58" t="str">
        <f>VLOOKUP($A228,Questions!$A$3:$X$333,20,0)&amp;""</f>
        <v>Refer to HIPAA documentation or your institution's Chief HIPAA Security Officer.</v>
      </c>
      <c r="E228" s="52"/>
    </row>
    <row r="229" spans="1:5" ht="52.5" customHeight="1" x14ac:dyDescent="0.2">
      <c r="A229" s="58" t="s">
        <v>644</v>
      </c>
      <c r="B229" s="58" t="str">
        <f>VLOOKUP($A229,Questions!$A$3:$X$333,2,0)&amp;""</f>
        <v>Does the application log administrative activity, such as user account access changes and password changes, including specific user, date/time of changes, and originating IP or device?</v>
      </c>
      <c r="C229" s="58" t="str">
        <f>VLOOKUP($A229,Questions!$A$3:$X$333,19,0)&amp;""</f>
        <v>HIPAA</v>
      </c>
      <c r="D229" s="58" t="str">
        <f>VLOOKUP($A229,Questions!$A$3:$X$333,20,0)&amp;""</f>
        <v>Refer to HIPAA documentation or your institution's Chief HIPAA Security Officer.</v>
      </c>
    </row>
    <row r="230" spans="1:5" ht="21" customHeight="1" x14ac:dyDescent="0.2">
      <c r="A230" s="58" t="s">
        <v>646</v>
      </c>
      <c r="B230" s="58" t="str">
        <f>VLOOKUP($A230,Questions!$A$3:$X$333,2,0)&amp;""</f>
        <v>Do you retain logs for at least as long as required by HIPAA regulations?</v>
      </c>
      <c r="C230" s="58" t="str">
        <f>VLOOKUP($A230,Questions!$A$3:$X$333,19,0)&amp;""</f>
        <v>HIPAA</v>
      </c>
      <c r="D230" s="58" t="str">
        <f>VLOOKUP($A230,Questions!$A$3:$X$333,20,0)&amp;""</f>
        <v>Refer to HIPAA documentation or your institution's Chief HIPAA Security Officer.</v>
      </c>
    </row>
    <row r="231" spans="1:5" ht="23.25" customHeight="1" x14ac:dyDescent="0.2">
      <c r="A231" s="58" t="s">
        <v>648</v>
      </c>
      <c r="B231" s="58" t="str">
        <f>VLOOKUP($A231,Questions!$A$3:$X$333,2,0)&amp;""</f>
        <v>Can the application logs be archived?</v>
      </c>
      <c r="C231" s="58" t="str">
        <f>VLOOKUP($A231,Questions!$A$3:$X$333,19,0)&amp;""</f>
        <v>HIPAA</v>
      </c>
      <c r="D231" s="58" t="str">
        <f>VLOOKUP($A231,Questions!$A$3:$X$333,20,0)&amp;""</f>
        <v>Refer to HIPAA documentation or your institution's Chief HIPAA Security Officer.</v>
      </c>
    </row>
    <row r="232" spans="1:5" ht="24.75" customHeight="1" x14ac:dyDescent="0.2">
      <c r="A232" s="58" t="s">
        <v>650</v>
      </c>
      <c r="B232" s="58" t="str">
        <f>VLOOKUP($A232,Questions!$A$3:$X$333,2,0)&amp;""</f>
        <v>Can the application logs be saved externally?</v>
      </c>
      <c r="C232" s="58" t="str">
        <f>VLOOKUP($A232,Questions!$A$3:$X$333,19,0)&amp;""</f>
        <v>HIPAA</v>
      </c>
      <c r="D232" s="58" t="str">
        <f>VLOOKUP($A232,Questions!$A$3:$X$333,20,0)&amp;""</f>
        <v>Refer to HIPAA documentation or your institution's Chief HIPAA Security Officer.</v>
      </c>
    </row>
    <row r="233" spans="1:5" ht="39" customHeight="1" x14ac:dyDescent="0.2">
      <c r="A233" s="58" t="s">
        <v>652</v>
      </c>
      <c r="B233" s="58" t="str">
        <f>VLOOKUP($A233,Questions!$A$3:$X$333,2,0)&amp;""</f>
        <v>Do you have a disaster recovery plan and emergency mode operation plan?</v>
      </c>
      <c r="C233" s="58" t="str">
        <f>VLOOKUP($A233,Questions!$A$3:$X$333,19,0)&amp;""</f>
        <v>HIPAA</v>
      </c>
      <c r="D233" s="58" t="str">
        <f>VLOOKUP($A233,Questions!$A$3:$X$333,20,0)&amp;""</f>
        <v>Refer to HIPAA documentation or your institution's Chief HIPAA Security Officer.</v>
      </c>
    </row>
    <row r="234" spans="1:5" ht="23.25" customHeight="1" x14ac:dyDescent="0.2">
      <c r="A234" s="58" t="s">
        <v>653</v>
      </c>
      <c r="B234" s="58" t="str">
        <f>VLOOKUP($A234,Questions!$A$3:$X$333,2,0)&amp;""</f>
        <v>Can you provide a HIPAA compliance attestation document?</v>
      </c>
      <c r="C234" s="58" t="str">
        <f>VLOOKUP($A234,Questions!$A$3:$X$333,19,0)&amp;""</f>
        <v>HIPAA</v>
      </c>
      <c r="D234" s="58" t="str">
        <f>VLOOKUP($A234,Questions!$A$3:$X$333,20,0)&amp;""</f>
        <v>Refer to HIPAA documentation or your institution's Chief HIPAA Security Officer.</v>
      </c>
    </row>
    <row r="235" spans="1:5" ht="22.5" customHeight="1" x14ac:dyDescent="0.2">
      <c r="A235" s="58" t="s">
        <v>655</v>
      </c>
      <c r="B235" s="58" t="str">
        <f>VLOOKUP($A235,Questions!$A$3:$X$333,2,0)&amp;""</f>
        <v>Are you willing to enter into a Business Associate Agreement (BAA)?</v>
      </c>
      <c r="C235" s="58" t="str">
        <f>VLOOKUP($A235,Questions!$A$3:$X$333,19,0)&amp;""</f>
        <v>HIPAA</v>
      </c>
      <c r="D235" s="58" t="str">
        <f>VLOOKUP($A235,Questions!$A$3:$X$333,20,0)&amp;""</f>
        <v>Refer to HIPAA documentation or your institution's Chief HIPAA Security Officer.</v>
      </c>
    </row>
    <row r="236" spans="1:5" ht="33" customHeight="1" x14ac:dyDescent="0.2">
      <c r="A236" s="58" t="s">
        <v>657</v>
      </c>
      <c r="B236" s="58" t="str">
        <f>VLOOKUP($A236,Questions!$A$3:$X$333,2,0)&amp;""</f>
        <v>Do your data backup and retention policies and practices meet HIPAA requirements?</v>
      </c>
      <c r="C236" s="58" t="str">
        <f>VLOOKUP($A236,Questions!$A$3:$X$333,19,0)&amp;""</f>
        <v>HIPAA</v>
      </c>
      <c r="D236" s="58" t="str">
        <f>VLOOKUP($A236,Questions!$A$3:$X$333,20,0)&amp;""</f>
        <v>Refer to HIPAA documentation or your institution's Chief HIPAA Security Officer.</v>
      </c>
      <c r="E236" s="242" t="s">
        <v>1510</v>
      </c>
    </row>
    <row r="237" spans="1:5" ht="18" x14ac:dyDescent="0.2">
      <c r="A237" s="64" t="str">
        <f>VLOOKUP(LEFT($A238,4),'Auto Responses'!$N$4:$O$38,2,0)&amp;""</f>
        <v xml:space="preserve"> Payment Card Industry Data Security Standard (PCI DSS)</v>
      </c>
      <c r="B237" s="64"/>
      <c r="C237" s="57" t="str">
        <f>Questions!$S$2</f>
        <v>Reason for Question</v>
      </c>
      <c r="D237" s="57" t="str">
        <f>Questions!$T$2</f>
        <v>Follow-Up Inquiries/Responses</v>
      </c>
    </row>
    <row r="238" spans="1:5" ht="36" customHeight="1" x14ac:dyDescent="0.2">
      <c r="A238" s="58" t="s">
        <v>658</v>
      </c>
      <c r="B238" s="58" t="str">
        <f>VLOOKUP($A238,Questions!$A$3:$X$333,2,0)&amp;""</f>
        <v>Do you have a current, executed within the past year, Attestation of Compliance (AoC) or Report on Compliance (RoC)?*</v>
      </c>
      <c r="C238" s="58" t="str">
        <f>VLOOKUP($A238,Questions!$A$3:$X$333,19,0)&amp;""</f>
        <v>PCI DSS</v>
      </c>
      <c r="D238" s="58" t="str">
        <f>VLOOKUP($A238,Questions!$A$3:$X$333,20,0)&amp;""</f>
        <v>Refer to PCI DSS documentation or your institution's treasurer's office.</v>
      </c>
    </row>
    <row r="239" spans="1:5" ht="36.75" customHeight="1" x14ac:dyDescent="0.2">
      <c r="A239" s="58" t="s">
        <v>662</v>
      </c>
      <c r="B239" s="58" t="str">
        <f>VLOOKUP($A239,Questions!$A$3:$X$333,2,0)&amp;""</f>
        <v>Is the application listed as an approved Payment Application Data Security Standard (PA-DSS) application?*</v>
      </c>
      <c r="C239" s="58" t="str">
        <f>VLOOKUP($A239,Questions!$A$3:$X$333,19,0)&amp;""</f>
        <v>PCI DSS</v>
      </c>
      <c r="D239" s="58" t="str">
        <f>VLOOKUP($A239,Questions!$A$3:$X$333,20,0)&amp;""</f>
        <v>Refer to PCI DSS documentation or your institution's treasurer's office.</v>
      </c>
    </row>
    <row r="240" spans="1:5" ht="40.5" customHeight="1" x14ac:dyDescent="0.2">
      <c r="A240" s="58" t="s">
        <v>664</v>
      </c>
      <c r="B240" s="58" t="str">
        <f>VLOOKUP($A240,Questions!$A$3:$X$333,2,0)&amp;""</f>
        <v>Does the system or solutions use a third party to collect, store, process, or transmit cardholder (payment/credit/debt card) data?*</v>
      </c>
      <c r="C240" s="58" t="str">
        <f>VLOOKUP($A240,Questions!$A$3:$X$333,19,0)&amp;""</f>
        <v>PCI DSS</v>
      </c>
      <c r="D240" s="58" t="str">
        <f>VLOOKUP($A240,Questions!$A$3:$X$333,20,0)&amp;""</f>
        <v>Refer to PCI DSS documentation or your institution's treasurer's office.</v>
      </c>
    </row>
    <row r="241" spans="1:5" ht="39" customHeight="1" x14ac:dyDescent="0.2">
      <c r="A241" s="58" t="s">
        <v>665</v>
      </c>
      <c r="B241" s="58" t="str">
        <f>VLOOKUP($A241,Questions!$A$3:$X$333,2,0)&amp;""</f>
        <v>Do your systems or solutions store, process, or transmit cardholder (payment/credit/debt card) data?</v>
      </c>
      <c r="C241" s="58" t="str">
        <f>VLOOKUP($A241,Questions!$A$3:$X$333,19,0)&amp;""</f>
        <v>PCI DSS</v>
      </c>
      <c r="D241" s="58" t="str">
        <f>VLOOKUP($A241,Questions!$A$3:$X$333,20,0)&amp;""</f>
        <v>Refer to PCI DSS documentation or your institution's treasurer's office.</v>
      </c>
    </row>
    <row r="242" spans="1:5" ht="38.25" customHeight="1" x14ac:dyDescent="0.2">
      <c r="A242" s="58" t="s">
        <v>667</v>
      </c>
      <c r="B242" s="58" t="str">
        <f>VLOOKUP($A242,Questions!$A$3:$X$333,2,0)&amp;""</f>
        <v>Are you compliant with the Payment Card Industry Data Security Standard (PCI DSS)?</v>
      </c>
      <c r="C242" s="58" t="str">
        <f>VLOOKUP($A242,Questions!$A$3:$X$333,19,0)&amp;""</f>
        <v>PCI DSS</v>
      </c>
      <c r="D242" s="58" t="str">
        <f>VLOOKUP($A242,Questions!$A$3:$X$333,20,0)&amp;""</f>
        <v>Refer to PCI DSS documentation or your institution's treasurer's office.</v>
      </c>
    </row>
    <row r="243" spans="1:5" ht="28.5" customHeight="1" x14ac:dyDescent="0.2">
      <c r="A243" s="58" t="s">
        <v>668</v>
      </c>
      <c r="B243" s="58" t="str">
        <f>VLOOKUP($A243,Questions!$A$3:$X$333,2,0)&amp;""</f>
        <v>Are you classified as a service provider?</v>
      </c>
      <c r="C243" s="58" t="str">
        <f>VLOOKUP($A243,Questions!$A$3:$X$333,19,0)&amp;""</f>
        <v>PCI DSS</v>
      </c>
      <c r="D243" s="58" t="str">
        <f>VLOOKUP($A243,Questions!$A$3:$X$333,20,0)&amp;""</f>
        <v>Refer to PCI DSS documentation or your institution's treasurer's office.</v>
      </c>
    </row>
    <row r="244" spans="1:5" ht="29.25" customHeight="1" x14ac:dyDescent="0.2">
      <c r="A244" s="58" t="s">
        <v>670</v>
      </c>
      <c r="B244" s="58" t="str">
        <f>VLOOKUP($A244,Questions!$A$3:$X$333,2,0)&amp;""</f>
        <v>Are you on the list of Visa approved service providers?</v>
      </c>
      <c r="C244" s="58" t="str">
        <f>VLOOKUP($A244,Questions!$A$3:$X$333,19,0)&amp;""</f>
        <v>PCI DSS</v>
      </c>
      <c r="D244" s="58" t="str">
        <f>VLOOKUP($A244,Questions!$A$3:$X$333,20,0)&amp;""</f>
        <v>Refer to PCI DSS documentation or your institution's treasurer's office.</v>
      </c>
    </row>
    <row r="245" spans="1:5" ht="26.25" customHeight="1" x14ac:dyDescent="0.2">
      <c r="A245" s="58" t="s">
        <v>672</v>
      </c>
      <c r="B245" s="58" t="str">
        <f>VLOOKUP($A245,Questions!$A$3:$X$333,2,0)&amp;""</f>
        <v>Are you classified as a merchant? If so, what level (1, 2, 3, 4)?</v>
      </c>
      <c r="C245" s="58" t="str">
        <f>VLOOKUP($A245,Questions!$A$3:$X$333,19,0)&amp;""</f>
        <v>PCI DSS</v>
      </c>
      <c r="D245" s="58" t="str">
        <f>VLOOKUP($A245,Questions!$A$3:$X$333,20,0)&amp;""</f>
        <v>Refer to PCI DSS documentation or your institution's treasurer's office.</v>
      </c>
    </row>
    <row r="246" spans="1:5" ht="36.75" customHeight="1" x14ac:dyDescent="0.2">
      <c r="A246" s="58" t="s">
        <v>674</v>
      </c>
      <c r="B246" s="58" t="str">
        <f>VLOOKUP($A246,Questions!$A$3:$X$333,2,0)&amp;""</f>
        <v>Describe the architecture employed by the system to verify and authorize credit card transactions.</v>
      </c>
      <c r="C246" s="58" t="str">
        <f>VLOOKUP($A246,Questions!$A$3:$X$333,19,0)&amp;""</f>
        <v>PCI DSS</v>
      </c>
      <c r="D246" s="58" t="str">
        <f>VLOOKUP($A246,Questions!$A$3:$X$333,20,0)&amp;""</f>
        <v>Refer to PCI DSS documentation or your institution's treasurer's office.</v>
      </c>
    </row>
    <row r="247" spans="1:5" ht="22.5" customHeight="1" x14ac:dyDescent="0.2">
      <c r="A247" s="58" t="s">
        <v>675</v>
      </c>
      <c r="B247" s="58" t="str">
        <f>VLOOKUP($A247,Questions!$A$3:$X$333,2,0)&amp;""</f>
        <v>What payment processors/gateways does the system support?</v>
      </c>
      <c r="C247" s="58" t="str">
        <f>VLOOKUP($A247,Questions!$A$3:$X$333,19,0)&amp;""</f>
        <v>PCI DSS</v>
      </c>
      <c r="D247" s="58" t="str">
        <f>VLOOKUP($A247,Questions!$A$3:$X$333,20,0)&amp;""</f>
        <v>Refer to PCI DSS documentation or your institution's treasurer's office.</v>
      </c>
    </row>
    <row r="248" spans="1:5" ht="24.75" customHeight="1" x14ac:dyDescent="0.2">
      <c r="A248" s="58" t="s">
        <v>676</v>
      </c>
      <c r="B248" s="58" t="str">
        <f>VLOOKUP($A248,Questions!$A$3:$X$333,2,0)&amp;""</f>
        <v>Can the application be installed in a PCI DSS–compliant manner?</v>
      </c>
      <c r="C248" s="58" t="str">
        <f>VLOOKUP($A248,Questions!$A$3:$X$333,19,0)&amp;""</f>
        <v>PCI DSS</v>
      </c>
      <c r="D248" s="58" t="str">
        <f>VLOOKUP($A248,Questions!$A$3:$X$333,20,0)&amp;""</f>
        <v>Refer to PCI DSS documentation or your institution's treasurer's office.</v>
      </c>
    </row>
    <row r="249" spans="1:5" ht="51" customHeight="1" x14ac:dyDescent="0.2">
      <c r="A249" s="58" t="s">
        <v>677</v>
      </c>
      <c r="B249" s="58" t="str">
        <f>VLOOKUP($A249,Questions!$A$3:$X$333,2,0)&amp;""</f>
        <v>Include documentation describing the system's abilities to comply with the PCI DSS and any features or capabilities of the system that must be added or changed in order to operate in compliance with the standards.</v>
      </c>
      <c r="C249" s="58" t="str">
        <f>VLOOKUP($A249,Questions!$A$3:$X$333,19,0)&amp;""</f>
        <v>PCI DSS</v>
      </c>
      <c r="D249" s="58" t="str">
        <f>VLOOKUP($A249,Questions!$A$3:$X$333,20,0)&amp;""</f>
        <v>Refer to PCI DSS documentation or your institution's treasurer's office.</v>
      </c>
      <c r="E249" s="242" t="s">
        <v>1510</v>
      </c>
    </row>
    <row r="250" spans="1:5" ht="18" x14ac:dyDescent="0.2">
      <c r="A250" s="64" t="str">
        <f>VLOOKUP(LEFT($A251,4),'Auto Responses'!$N$4:$O$38,2,0)&amp;""</f>
        <v xml:space="preserve"> On-Premises Data Solutions</v>
      </c>
      <c r="B250" s="64"/>
      <c r="C250" s="57" t="str">
        <f>Questions!$S$2</f>
        <v>Reason for Question</v>
      </c>
      <c r="D250" s="57" t="str">
        <f>Questions!$T$2</f>
        <v>Follow-Up Inquiries/Responses</v>
      </c>
    </row>
    <row r="251" spans="1:5" ht="68.25" customHeight="1" x14ac:dyDescent="0.2">
      <c r="A251" s="58" t="s">
        <v>678</v>
      </c>
      <c r="B251" s="58" t="str">
        <f>VLOOKUP($A251,Questions!$A$3:$X$333,2,0)&amp;""</f>
        <v>Do you support role-based access control (RBAC) for system administrators?</v>
      </c>
      <c r="C251" s="58"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58"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2">
      <c r="A252" s="58" t="s">
        <v>680</v>
      </c>
      <c r="B252" s="58" t="str">
        <f>VLOOKUP($A252,Questions!$A$3:$X$333,2,0)&amp;""</f>
        <v>Can your employees access customer systems remotely?</v>
      </c>
      <c r="C252" s="58"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58"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2">
      <c r="A253" s="58" t="s">
        <v>684</v>
      </c>
      <c r="B253" s="58" t="str">
        <f>VLOOKUP($A253,Questions!$A$3:$X$333,2,0)&amp;""</f>
        <v>Can you provide overall system and/or application architecture diagrams including a full description of the data communications architecture for all components of the system?</v>
      </c>
      <c r="C253" s="58" t="str">
        <f>VLOOKUP($A253,Questions!$A$3:$X$333,19,0)&amp;""</f>
        <v>Many systems can be used a variety of ways. We want these implementation type diagrams so that we can understand the "real" use of the solution.</v>
      </c>
      <c r="D253" s="58"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2">
      <c r="A254" s="58" t="s">
        <v>688</v>
      </c>
      <c r="B254" s="58" t="str">
        <f>VLOOKUP($A254,Questions!$A$3:$X$333,2,0)&amp;""</f>
        <v>Do you require remote management of the system?</v>
      </c>
      <c r="C254" s="58"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58"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2">
      <c r="A255" s="58" t="s">
        <v>691</v>
      </c>
      <c r="B255" s="58" t="str">
        <f>VLOOKUP($A255,Questions!$A$3:$X$333,2,0)&amp;""</f>
        <v>If you answered "yes" to OPEM-04, are your remote actions and changes logged or otherwise visible to the campus?</v>
      </c>
      <c r="C255" s="58"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58"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2">
      <c r="A256" s="58" t="s">
        <v>695</v>
      </c>
      <c r="B256" s="58" t="str">
        <f>VLOOKUP($A256,Questions!$A$3:$X$333,2,0)&amp;""</f>
        <v>If you maintain remote access to the system, will you handle data in a FERPA-compliant manner?</v>
      </c>
      <c r="C256" s="58" t="str">
        <f>VLOOKUP($A256,Questions!$A$3:$X$333,19,0)&amp;""</f>
        <v>This is standard documentation, relevant to institution implementations requiring FERPA compliance.</v>
      </c>
      <c r="D256" s="58" t="str">
        <f>VLOOKUP($A256,Questions!$A$3:$X$333,20,0)&amp;""</f>
        <v>Follow-up inquiries for FERPA compliance details will be institution/implementation specific.</v>
      </c>
    </row>
    <row r="257" spans="1:5" ht="61.5" customHeight="1" x14ac:dyDescent="0.2">
      <c r="A257" s="58" t="s">
        <v>697</v>
      </c>
      <c r="B257" s="58" t="str">
        <f>VLOOKUP($A257,Questions!$A$3:$X$333,2,0)&amp;""</f>
        <v>Do you support campus status monitoring through SNMPv3 or other means?</v>
      </c>
      <c r="C257" s="58" t="str">
        <f>VLOOKUP($A257,Questions!$A$3:$X$333,19,0)&amp;""</f>
        <v>Standard documentation question. With an on-premise device, the possibility to tie-in with existing monitoring/management systems is beneficial. The solution provider's response should be clear and concise.</v>
      </c>
      <c r="D257" s="58" t="str">
        <f>VLOOKUP($A257,Questions!$A$3:$X$333,20,0)&amp;""</f>
        <v>Follow-up inquiries for monitoring via SNMPv3 will be institution/implementation specific.</v>
      </c>
    </row>
    <row r="258" spans="1:5" ht="54" customHeight="1" x14ac:dyDescent="0.2">
      <c r="A258" s="58" t="s">
        <v>700</v>
      </c>
      <c r="B258" s="58" t="str">
        <f>VLOOKUP($A258,Questions!$A$3:$X$333,2,0)&amp;""</f>
        <v>Describe or provide a reference to any other safeguards used to monitor for malicious activity.</v>
      </c>
      <c r="C258" s="58" t="str">
        <f>VLOOKUP($A258,Questions!$A$3:$X$333,19,0)&amp;""</f>
        <v>This question is primarily focused on system(s) integrity and confidentiality. The solution provider's response should clearly state the system(s) capabilities to properly monitor for (and alert for) malicious activity.</v>
      </c>
      <c r="D258" s="58" t="str">
        <f>VLOOKUP($A258,Questions!$A$3:$X$333,20,0)&amp;""</f>
        <v>Follow-up inquiries for system monitoring will be institution/implementation specific.</v>
      </c>
      <c r="E258" s="52"/>
    </row>
    <row r="259" spans="1:5" ht="42.75" x14ac:dyDescent="0.2">
      <c r="A259" s="58" t="s">
        <v>701</v>
      </c>
      <c r="B259" s="58" t="str">
        <f>VLOOKUP($A259,Questions!$A$3:$X$333,2,0)&amp;""</f>
        <v>Describe how long your organization has conducted business in this area.</v>
      </c>
      <c r="C259" s="58" t="str">
        <f>VLOOKUP($A259,Questions!$A$3:$X$333,19,0)&amp;""</f>
        <v>We want to establish longevity of a solution and whether or not a solution provider is new to the higher education space.</v>
      </c>
      <c r="D259" s="58"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2"/>
    </row>
    <row r="260" spans="1:5" ht="60.75" customHeight="1" x14ac:dyDescent="0.2">
      <c r="A260" s="58" t="s">
        <v>706</v>
      </c>
      <c r="B260" s="58" t="str">
        <f>VLOOKUP($A260,Questions!$A$3:$X$333,2,0)&amp;""</f>
        <v>Do you have existing higher education customers?</v>
      </c>
      <c r="C260" s="58"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58" t="str">
        <f>VLOOKUP($A260,Questions!$A$3:$X$333,20,0)&amp;""</f>
        <v>A simple "yes" without any references or supporting information should be questioned. Question the size of institutions that are using the solution and the scope of their implementations.</v>
      </c>
      <c r="E260" s="242" t="s">
        <v>1510</v>
      </c>
    </row>
    <row r="261" spans="1:5" ht="18" x14ac:dyDescent="0.2">
      <c r="A261" s="64" t="str">
        <f>VLOOKUP(LEFT($A262,4),'Auto Responses'!$N$4:$O$38,2,0)&amp;""</f>
        <v xml:space="preserve"> General Privacy</v>
      </c>
      <c r="B261" s="64"/>
      <c r="C261" s="57" t="str">
        <f>Questions!$S$2</f>
        <v>Reason for Question</v>
      </c>
      <c r="D261" s="57" t="str">
        <f>Questions!$T$2</f>
        <v>Follow-Up Inquiries/Responses</v>
      </c>
    </row>
    <row r="262" spans="1:5" ht="21" customHeight="1" x14ac:dyDescent="0.2">
      <c r="A262" s="58" t="s">
        <v>892</v>
      </c>
      <c r="B262" s="58" t="str">
        <f>VLOOKUP($A262,Questions!$A$3:$X$333,2,0)&amp;""</f>
        <v>Does your solution process FERPA-related data?</v>
      </c>
      <c r="C262" s="58" t="str">
        <f>VLOOKUP($A262,Questions!$A$3:$X$333,19,0)&amp;""</f>
        <v>This question will help the institution gain an understanding of the types of data processed by this product or service.</v>
      </c>
      <c r="D262" s="58" t="str">
        <f>VLOOKUP($A262,Questions!$A$3:$X$333,20,0)&amp;""</f>
        <v>Will data be re-disclosed and/or used for any purpose other than directly providing the service, including quality assurance or marketing?</v>
      </c>
    </row>
    <row r="263" spans="1:5" ht="25.5" customHeight="1" x14ac:dyDescent="0.2">
      <c r="A263" s="58" t="s">
        <v>893</v>
      </c>
      <c r="B263" s="58" t="str">
        <f>VLOOKUP($A263,Questions!$A$3:$X$333,2,0)&amp;""</f>
        <v>Does your solution process GDPR-related or PIPL-related data?</v>
      </c>
      <c r="C263" s="58" t="str">
        <f>VLOOKUP($A263,Questions!$A$3:$X$333,19,0)&amp;""</f>
        <v>This question will help the institution gain an understanding of the types of data processed by this product or service.</v>
      </c>
      <c r="D263" s="58" t="str">
        <f>VLOOKUP($A263,Questions!$A$3:$X$333,20,0)&amp;""</f>
        <v/>
      </c>
    </row>
    <row r="264" spans="1:5" ht="34.5" customHeight="1" x14ac:dyDescent="0.2">
      <c r="A264" s="58" t="s">
        <v>894</v>
      </c>
      <c r="B264" s="58" t="str">
        <f>VLOOKUP($A264,Questions!$A$3:$X$333,2,0)&amp;""</f>
        <v>Does your solution process personal data regulated by state law(s) (e.g., CCPA)?</v>
      </c>
      <c r="C264" s="58" t="str">
        <f>VLOOKUP($A264,Questions!$A$3:$X$333,19,0)&amp;""</f>
        <v>This question will help the institution gain an understanding of the types of data processed by this product or service.</v>
      </c>
      <c r="D264" s="58" t="str">
        <f>VLOOKUP($A264,Questions!$A$3:$X$333,20,0)&amp;""</f>
        <v/>
      </c>
    </row>
    <row r="265" spans="1:5" ht="33" customHeight="1" x14ac:dyDescent="0.2">
      <c r="A265" s="58" t="s">
        <v>895</v>
      </c>
      <c r="B265" s="58" t="str">
        <f>VLOOKUP($A265,Questions!$A$3:$X$333,2,0)&amp;""</f>
        <v>Does your solution process user-provided data that may contain regulated information?</v>
      </c>
      <c r="C265" s="58" t="str">
        <f>VLOOKUP($A265,Questions!$A$3:$X$333,19,0)&amp;""</f>
        <v>This question will help the institution gain an understanding of the types of data processed by this product or service.</v>
      </c>
      <c r="D265" s="58" t="str">
        <f>VLOOKUP($A265,Questions!$A$3:$X$333,20,0)&amp;""</f>
        <v/>
      </c>
    </row>
    <row r="266" spans="1:5" ht="24.75" customHeight="1" x14ac:dyDescent="0.2">
      <c r="A266" s="58" t="s">
        <v>896</v>
      </c>
      <c r="B266" s="58" t="str">
        <f>VLOOKUP($A266,Questions!$A$3:$X$333,2,0)&amp;""</f>
        <v>Web Link to Product/Service Privacy Notice</v>
      </c>
      <c r="C266" s="58" t="str">
        <f>VLOOKUP($A266,Questions!$A$3:$X$333,19,0)&amp;""</f>
        <v/>
      </c>
      <c r="D266" s="58" t="str">
        <f>VLOOKUP($A266,Questions!$A$3:$X$333,20,0)&amp;""</f>
        <v/>
      </c>
      <c r="E266" s="242" t="s">
        <v>1510</v>
      </c>
    </row>
    <row r="267" spans="1:5" ht="18" x14ac:dyDescent="0.2">
      <c r="A267" s="64" t="str">
        <f>VLOOKUP(LEFT($A268,4),'Auto Responses'!$N$4:$O$38,2,0)&amp;""</f>
        <v xml:space="preserve"> Privacy-Specific Company Details</v>
      </c>
      <c r="B267" s="64"/>
      <c r="C267" s="57" t="str">
        <f>Questions!$S$2</f>
        <v>Reason for Question</v>
      </c>
      <c r="D267" s="57" t="str">
        <f>Questions!$T$2</f>
        <v>Follow-Up Inquiries/Responses</v>
      </c>
    </row>
    <row r="268" spans="1:5" ht="60" customHeight="1" x14ac:dyDescent="0.2">
      <c r="A268" s="58" t="s">
        <v>711</v>
      </c>
      <c r="B268" s="58" t="str">
        <f>VLOOKUP($A268,Questions!$A$3:$X$333,2,0)&amp;""</f>
        <v>Have you had a personal data breach in the past three years that involved reporting to a governmental agency, notice to individuals (including voluntary notice), or notice to another organization or institution?*</v>
      </c>
      <c r="C268" s="58" t="str">
        <f>VLOOKUP($A268,Questions!$A$3:$X$333,19,0)&amp;""</f>
        <v>Having a previous data breach can indicate a level of risk that will indicate that the instituion should further investigate changes made after the breach.</v>
      </c>
      <c r="D268" s="58" t="str">
        <f>VLOOKUP($A268,Questions!$A$3:$X$333,20,0)&amp;""</f>
        <v/>
      </c>
    </row>
    <row r="269" spans="1:5" ht="36.75" customHeight="1" x14ac:dyDescent="0.2">
      <c r="A269" s="58" t="s">
        <v>713</v>
      </c>
      <c r="B269" s="58" t="str">
        <f>VLOOKUP($A269,Questions!$A$3:$X$333,2,0)&amp;""</f>
        <v>Use this area to share information about your privacy practices that will assist those who are assessing your company data privacy program.*</v>
      </c>
      <c r="C269" s="58" t="str">
        <f>VLOOKUP($A269,Questions!$A$3:$X$333,19,0)&amp;""</f>
        <v/>
      </c>
      <c r="D269" s="58" t="str">
        <f>VLOOKUP($A269,Questions!$A$3:$X$333,20,0)&amp;""</f>
        <v/>
      </c>
    </row>
    <row r="270" spans="1:5" ht="35.25" customHeight="1" x14ac:dyDescent="0.2">
      <c r="A270" s="58" t="s">
        <v>714</v>
      </c>
      <c r="B270" s="58" t="str">
        <f>VLOOKUP($A270,Questions!$A$3:$X$333,2,0)&amp;""</f>
        <v>Have you had any violations of your internal privacy policies or violations of applicable privacy law in the past 36 months?</v>
      </c>
      <c r="C270" s="58" t="str">
        <f>VLOOKUP($A270,Questions!$A$3:$X$333,19,0)&amp;""</f>
        <v>This question solicits information about internal privacy policy violations and/or violations of applicable privacy law in the past three years.</v>
      </c>
      <c r="D270" s="58" t="str">
        <f>VLOOKUP($A270,Questions!$A$3:$X$333,20,0)&amp;""</f>
        <v/>
      </c>
    </row>
    <row r="271" spans="1:5" ht="21.75" customHeight="1" x14ac:dyDescent="0.2">
      <c r="A271" s="58" t="s">
        <v>715</v>
      </c>
      <c r="B271" s="58" t="str">
        <f>VLOOKUP($A271,Questions!$A$3:$X$333,2,0)&amp;""</f>
        <v>Do you have a dedicated data privacy staff or office?</v>
      </c>
      <c r="C271" s="58" t="str">
        <f>VLOOKUP($A271,Questions!$A$3:$X$333,19,0)&amp;""</f>
        <v>Any solution provider processing protected student data should have resources/staff dedicated to the protection of the data.</v>
      </c>
      <c r="D271" s="58" t="str">
        <f>VLOOKUP($A271,Questions!$A$3:$X$333,20,0)&amp;""</f>
        <v/>
      </c>
      <c r="E271" s="242" t="s">
        <v>1510</v>
      </c>
    </row>
    <row r="272" spans="1:5" ht="18" x14ac:dyDescent="0.2">
      <c r="A272" s="64" t="str">
        <f>VLOOKUP(LEFT($A273,4),'Auto Responses'!$N$4:$O$38,2,0)&amp;""</f>
        <v xml:space="preserve"> Privacy-Specific Documentation</v>
      </c>
      <c r="B272" s="64"/>
      <c r="C272" s="57" t="str">
        <f>Questions!$S$2</f>
        <v>Reason for Question</v>
      </c>
      <c r="D272" s="57" t="str">
        <f>Questions!$T$2</f>
        <v>Follow-Up Inquiries/Responses</v>
      </c>
    </row>
    <row r="273" spans="1:5" ht="36" customHeight="1" x14ac:dyDescent="0.2">
      <c r="A273" s="58" t="s">
        <v>716</v>
      </c>
      <c r="B273" s="58" t="str">
        <f>VLOOKUP($A273,Questions!$A$3:$X$333,2,0)&amp;""</f>
        <v>If you have completed a SOC 2 audit, does it include the Privacy Trust Service Principle?</v>
      </c>
      <c r="C273" s="58" t="str">
        <f>VLOOKUP($A273,Questions!$A$3:$X$333,19,0)&amp;""</f>
        <v>This is specifically asking for the Privacy Trust Service Principle, which is not always included in a SOC 2 audit.</v>
      </c>
      <c r="D273" s="58" t="str">
        <f>VLOOKUP($A273,Questions!$A$3:$X$333,20,0)&amp;""</f>
        <v/>
      </c>
    </row>
    <row r="274" spans="1:5" ht="38.25" customHeight="1" x14ac:dyDescent="0.2">
      <c r="A274" s="58" t="s">
        <v>717</v>
      </c>
      <c r="B274" s="58" t="str">
        <f>VLOOKUP($A274,Questions!$A$3:$X$333,2,0)&amp;""</f>
        <v>Do you conform with a specific industry-standard privacy framework (e.g., NIST Privacy Framework, GDPR, ISO 27701)?</v>
      </c>
      <c r="C274" s="58" t="str">
        <f>VLOOKUP($A274,Questions!$A$3:$X$333,19,0)&amp;""</f>
        <v>Conformance with industry privacy frameworks can demonstrate an organization's privacy posture and can provide clients a sense of comfort as to the organization's commitment to protection of personal data.</v>
      </c>
      <c r="D274" s="58" t="str">
        <f>VLOOKUP($A274,Questions!$A$3:$X$333,20,0)&amp;""</f>
        <v>If the organization relies on more than one framework or only on portions of a framework, has this been mapped to the Security Controls Framework? If so, please provide a copy of the mapping used.</v>
      </c>
    </row>
    <row r="275" spans="1:5" ht="39" customHeight="1" x14ac:dyDescent="0.2">
      <c r="A275" s="58" t="s">
        <v>718</v>
      </c>
      <c r="B275" s="58" t="str">
        <f>VLOOKUP($A275,Questions!$A$3:$X$333,2,0)&amp;""</f>
        <v>Does your employee onboarding and offboarding policy include training of employees on information security and data privacy?</v>
      </c>
      <c r="C275" s="58" t="str">
        <f>VLOOKUP($A275,Questions!$A$3:$X$333,19,0)&amp;""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v>
      </c>
      <c r="D275" s="58" t="str">
        <f>VLOOKUP($A275,Questions!$A$3:$X$333,20,0)&amp;""</f>
        <v>If training is provided to specific employee groups only, please provide information as to which groups and an overview of the training for each group.</v>
      </c>
      <c r="E275" s="242" t="s">
        <v>1510</v>
      </c>
    </row>
    <row r="276" spans="1:5" ht="18" x14ac:dyDescent="0.2">
      <c r="A276" s="64" t="str">
        <f>VLOOKUP(LEFT($A277,4),'Auto Responses'!$N$4:$O$38,2,0)&amp;""</f>
        <v xml:space="preserve"> Privacy of Third Parties</v>
      </c>
      <c r="B276" s="64"/>
      <c r="C276" s="57" t="str">
        <f>Questions!$S$2</f>
        <v>Reason for Question</v>
      </c>
      <c r="D276" s="57" t="str">
        <f>Questions!$T$2</f>
        <v>Follow-Up Inquiries/Responses</v>
      </c>
    </row>
    <row r="277" spans="1:5" ht="50.25" customHeight="1" x14ac:dyDescent="0.2">
      <c r="A277" s="58" t="s">
        <v>720</v>
      </c>
      <c r="B277" s="58" t="str">
        <f>VLOOKUP($A277,Questions!$A$3:$X$333,2,0)&amp;""</f>
        <v>Do you have contractual agreements with third parties that require them to maintain standards and to comply with all regulatory requirements?*</v>
      </c>
      <c r="C277" s="58" t="str">
        <f>VLOOKUP($A277,Questions!$A$3:$X$333,19,0)&amp;""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277" s="58" t="str">
        <f>VLOOKUP($A277,Questions!$A$3:$X$333,20,0)&amp;""</f>
        <v/>
      </c>
    </row>
    <row r="278" spans="1:5" ht="60.75" customHeight="1" x14ac:dyDescent="0.2">
      <c r="A278" s="58" t="s">
        <v>722</v>
      </c>
      <c r="B278" s="58" t="str">
        <f>VLOOKUP($A278,Questions!$A$3:$X$333,2,0)&amp;""</f>
        <v>Do you perform privacy impact assesments of third parties that collect, process, or have access to personal data to ensure they meet industry and regulatory standards and to mitigate harmful, unethical, or discriminatory impacts on data subjects?</v>
      </c>
      <c r="C278" s="58" t="str">
        <f>VLOOKUP($A278,Questions!$A$3:$X$333,19,0)&amp;""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278" s="58" t="str">
        <f>VLOOKUP($A278,Questions!$A$3:$X$333,20,0)&amp;""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c r="E278" s="242" t="s">
        <v>1510</v>
      </c>
    </row>
    <row r="279" spans="1:5" ht="18" x14ac:dyDescent="0.2">
      <c r="A279" s="64" t="str">
        <f>VLOOKUP(LEFT($A280,4),'Auto Responses'!$N$4:$O$38,2,0)&amp;""</f>
        <v xml:space="preserve"> Privacy Change Management</v>
      </c>
      <c r="B279" s="64"/>
      <c r="C279" s="57" t="str">
        <f>Questions!$S$2</f>
        <v>Reason for Question</v>
      </c>
      <c r="D279" s="57" t="str">
        <f>Questions!$T$2</f>
        <v>Follow-Up Inquiries/Responses</v>
      </c>
    </row>
    <row r="280" spans="1:5" ht="39" customHeight="1" x14ac:dyDescent="0.2">
      <c r="A280" s="58" t="s">
        <v>723</v>
      </c>
      <c r="B280" s="58" t="str">
        <f>VLOOKUP($A280,Questions!$A$3:$X$333,2,0)&amp;""</f>
        <v>Does your change management process include privacy review and approval?</v>
      </c>
      <c r="C280" s="58" t="str">
        <f>VLOOKUP($A280,Questions!$A$3:$X$333,19,0)&amp;""</f>
        <v>It is important that change management not overlook any privacy considerations.</v>
      </c>
      <c r="D280" s="58" t="str">
        <f>VLOOKUP($A280,Questions!$A$3:$X$333,20,0)&amp;""</f>
        <v>If the answer is yes, describe the process; if the answer is no, describe plans to implement.</v>
      </c>
    </row>
    <row r="281" spans="1:5" ht="38.25" customHeight="1" x14ac:dyDescent="0.2">
      <c r="A281" s="58" t="s">
        <v>725</v>
      </c>
      <c r="B281" s="58" t="str">
        <f>VLOOKUP($A281,Questions!$A$3:$X$333,2,0)&amp;""</f>
        <v>Do you have policy and procedure, currently implemented, guiding how privacy risks are mitigated until they can be resolved?</v>
      </c>
      <c r="C281" s="58" t="str">
        <f>VLOOKUP($A281,Questions!$A$3:$X$333,19,0)&amp;""</f>
        <v>It is important to have a procedure in place to mitiage privacy risks as they come up.</v>
      </c>
      <c r="D281" s="58" t="str">
        <f>VLOOKUP($A281,Questions!$A$3:$X$333,20,0)&amp;""</f>
        <v>If the answer is yes, describe the process; if the answer is no, describe plans to implement.</v>
      </c>
      <c r="E281" s="242" t="s">
        <v>1510</v>
      </c>
    </row>
    <row r="282" spans="1:5" ht="18" x14ac:dyDescent="0.2">
      <c r="A282" s="64" t="str">
        <f>VLOOKUP(LEFT($A283,4),'Auto Responses'!$N$4:$O$38,2,0)&amp;""</f>
        <v xml:space="preserve"> Privacy of Sensitive Data</v>
      </c>
      <c r="B282" s="64"/>
      <c r="C282" s="57" t="str">
        <f>Questions!$S$2</f>
        <v>Reason for Question</v>
      </c>
      <c r="D282" s="57" t="str">
        <f>Questions!$T$2</f>
        <v>Follow-Up Inquiries/Responses</v>
      </c>
    </row>
    <row r="283" spans="1:5" ht="40.5" customHeight="1" x14ac:dyDescent="0.2">
      <c r="A283" s="58" t="s">
        <v>727</v>
      </c>
      <c r="B283" s="58" t="str">
        <f>VLOOKUP($A283,Questions!$A$3:$X$333,2,0)&amp;""</f>
        <v>Do you collect, process, or store demographic information?*</v>
      </c>
      <c r="C283" s="58" t="str">
        <f>VLOOKUP($A283,Questions!$A$3:$X$333,19,0)&amp;""</f>
        <v>This data can be included in data sets that are deidentified but is sensitive data that could be reidentified if paired with other data points.</v>
      </c>
      <c r="D283" s="58" t="str">
        <f>VLOOKUP($A283,Questions!$A$3:$X$333,20,0)&amp;""</f>
        <v>Because of the nature of such data, it is important to have a full understanding of how the data is used and protected.</v>
      </c>
    </row>
    <row r="284" spans="1:5" ht="39" customHeight="1" x14ac:dyDescent="0.2">
      <c r="A284" s="58" t="s">
        <v>729</v>
      </c>
      <c r="B284" s="58" t="str">
        <f>VLOOKUP($A284,Questions!$A$3:$X$333,2,0)&amp;""</f>
        <v>Do you capture or create genetic, biometric, or behaviometric information (e.g., facial recognition or fingerprints)?*</v>
      </c>
      <c r="C284" s="58" t="str">
        <f>VLOOKUP($A284,Questions!$A$3:$X$333,19,0)&amp;""</f>
        <v>This data can be included in data sets that are deidentified but is sensitive data that could be reidentified if paired with other data points.</v>
      </c>
      <c r="D284" s="58" t="str">
        <f>VLOOKUP($A284,Questions!$A$3:$X$333,20,0)&amp;""</f>
        <v>Because of the nature of such data, it is important to have a full understanding of how the data is used and protected.</v>
      </c>
    </row>
    <row r="285" spans="1:5" ht="50.25" customHeight="1" x14ac:dyDescent="0.2">
      <c r="A285" s="58" t="s">
        <v>731</v>
      </c>
      <c r="B285" s="58" t="str">
        <f>VLOOKUP($A285,Questions!$A$3:$X$333,2,0)&amp;""</f>
        <v>Do you combine institutional data (including "de-identified," "anonymized," or otherwise masked data) with personal data from any other sources?*</v>
      </c>
      <c r="C285" s="58" t="str">
        <f>VLOOKUP($A285,Questions!$A$3:$X$333,19,0)&amp;""</f>
        <v/>
      </c>
      <c r="D285" s="58" t="str">
        <f>VLOOKUP($A285,Questions!$A$3:$X$333,20,0)&amp;""</f>
        <v/>
      </c>
    </row>
    <row r="286" spans="1:5" ht="36" customHeight="1" x14ac:dyDescent="0.2">
      <c r="A286" s="58" t="s">
        <v>732</v>
      </c>
      <c r="B286" s="58" t="str">
        <f>VLOOKUP($A286,Questions!$A$3:$X$333,2,0)&amp;""</f>
        <v>Is institutional data coming into or going out of the United States at any point during collection, processing, storage, or archiving?</v>
      </c>
      <c r="C286" s="58" t="str">
        <f>VLOOKUP($A286,Questions!$A$3:$X$333,19,0)&amp;""</f>
        <v/>
      </c>
      <c r="D286" s="58" t="str">
        <f>VLOOKUP($A286,Questions!$A$3:$X$333,20,0)&amp;""</f>
        <v/>
      </c>
    </row>
    <row r="287" spans="1:5" s="58" customFormat="1" ht="18.75" customHeight="1" x14ac:dyDescent="0.2">
      <c r="A287" s="58" t="s">
        <v>733</v>
      </c>
      <c r="B287" s="58" t="str">
        <f>VLOOKUP($A287,Questions!$A$3:$X$333,2,0)&amp;""</f>
        <v>Do you capture device information (e.g., IP address, MAC address)?</v>
      </c>
      <c r="C287" s="58" t="str">
        <f>VLOOKUP($A287,Questions!$A$3:$X$333,19,0)&amp;""</f>
        <v>This question can clarify whether there are any indirect identifiers that don't appear to be readily identifiable but that could be identifiable in the event of unauthorized access or use.</v>
      </c>
      <c r="D287" s="58" t="str">
        <f>VLOOKUP($A287,Questions!$A$3:$X$333,20,0)&amp;""</f>
        <v/>
      </c>
    </row>
    <row r="288" spans="1:5" s="58" customFormat="1" ht="34.5" customHeight="1" x14ac:dyDescent="0.2">
      <c r="A288" s="58" t="s">
        <v>734</v>
      </c>
      <c r="B288" s="58" t="str">
        <f>VLOOKUP($A288,Questions!$A$3:$X$333,2,0)&amp;""</f>
        <v>Does any part of this service/project involve a web/app tracking component (e.g., use of web-tracking pixels, cookies)?</v>
      </c>
      <c r="C288" s="58" t="str">
        <f>VLOOKUP($A288,Questions!$A$3:$X$333,19,0)&amp;""</f>
        <v>Web tracking can be used to identify users via their IP address, login information, browser information, etc.</v>
      </c>
      <c r="D288" s="58" t="str">
        <f>VLOOKUP($A288,Questions!$A$3:$X$333,20,0)&amp;""</f>
        <v/>
      </c>
    </row>
    <row r="289" spans="1:5" ht="36.75" customHeight="1" x14ac:dyDescent="0.2">
      <c r="A289" s="58" t="s">
        <v>735</v>
      </c>
      <c r="B289" s="58" t="str">
        <f>VLOOKUP($A289,Questions!$A$3:$X$333,2,0)&amp;""</f>
        <v>Does your staff (or a third party) have access to institutional data (e.g., financial, PHI, or other sensitive information) through any means?</v>
      </c>
      <c r="C289" s="58" t="str">
        <f>VLOOKUP($A289,Questions!$A$3:$X$333,19,0)&amp;""</f>
        <v>Institutional data may be sensitive in nature and should only be accessed for legitimate business purposes.</v>
      </c>
      <c r="D289" s="58" t="str">
        <f>VLOOKUP($A289,Questions!$A$3:$X$333,20,0)&amp;""</f>
        <v/>
      </c>
    </row>
    <row r="290" spans="1:5" ht="36.75" customHeight="1" x14ac:dyDescent="0.2">
      <c r="A290" s="58" t="s">
        <v>737</v>
      </c>
      <c r="B290" s="58" t="str">
        <f>VLOOKUP($A290,Questions!$A$3:$X$333,2,0)&amp;""</f>
        <v>Will you handle personal data in a manner compliant with all relevant laws, regulations, and applicable institution policies?</v>
      </c>
      <c r="C290" s="58" t="str">
        <f>VLOOKUP($A290,Questions!$A$3:$X$333,19,0)&amp;""</f>
        <v>Personal data that is handled improperly or against law/regulation can have significant negative impact.</v>
      </c>
      <c r="D290" s="58" t="str">
        <f>VLOOKUP($A290,Questions!$A$3:$X$333,20,0)&amp;""</f>
        <v/>
      </c>
      <c r="E290" s="242" t="s">
        <v>1510</v>
      </c>
    </row>
    <row r="291" spans="1:5" ht="18" x14ac:dyDescent="0.2">
      <c r="A291" s="64" t="str">
        <f>VLOOKUP(LEFT($A292,4),'Auto Responses'!$N$4:$O$38,2,0)&amp;""</f>
        <v xml:space="preserve"> Privacy Policies and Procedures</v>
      </c>
      <c r="B291" s="64"/>
      <c r="C291" s="57" t="str">
        <f>Questions!$S$2</f>
        <v>Reason for Question</v>
      </c>
      <c r="D291" s="57" t="str">
        <f>Questions!$T$2</f>
        <v>Follow-Up Inquiries/Responses</v>
      </c>
    </row>
    <row r="292" spans="1:5" ht="19.5" customHeight="1" x14ac:dyDescent="0.2">
      <c r="A292" s="58" t="s">
        <v>738</v>
      </c>
      <c r="B292" s="58" t="str">
        <f>VLOOKUP($A292,Questions!$A$3:$X$333,2,0)&amp;""</f>
        <v>Do you have a documented privacy management process?</v>
      </c>
      <c r="C292" s="58" t="str">
        <f>VLOOKUP($A292,Questions!$A$3:$X$333,19,0)&amp;""</f>
        <v>It's important for customers to know their data will remain private after being shared with the vendor.</v>
      </c>
      <c r="D292" s="58" t="str">
        <f>VLOOKUP($A292,Questions!$A$3:$X$333,20,0)&amp;""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293" spans="1:5" ht="36.75" customHeight="1" x14ac:dyDescent="0.2">
      <c r="A293" s="58" t="s">
        <v>741</v>
      </c>
      <c r="B293" s="58" t="str">
        <f>VLOOKUP($A293,Questions!$A$3:$X$333,2,0)&amp;""</f>
        <v>Are privacy principles designed into the product lifecycle (i.e., privacy-by-design)?</v>
      </c>
      <c r="C293" s="58" t="str">
        <f>VLOOKUP($A293,Questions!$A$3:$X$333,19,0)&amp;""</f>
        <v>Building privacy principles into the product lifecycle (e.g., privacy-by-design) can help ease the privacy management process.</v>
      </c>
      <c r="D293" s="58" t="str">
        <f>VLOOKUP($A293,Questions!$A$3:$X$333,20,0)&amp;""</f>
        <v/>
      </c>
    </row>
    <row r="294" spans="1:5" ht="21" customHeight="1" x14ac:dyDescent="0.2">
      <c r="A294" s="58" t="s">
        <v>744</v>
      </c>
      <c r="B294" s="58" t="str">
        <f>VLOOKUP($A294,Questions!$A$3:$X$333,2,0)&amp;""</f>
        <v>Will you comply with applicable breach notification laws?</v>
      </c>
      <c r="C294" s="58" t="str">
        <f>VLOOKUP($A294,Questions!$A$3:$X$333,19,0)&amp;""</f>
        <v>It's very important to get out in front of the impact from a system breach. Once a breach has been confirmed, timely communication is imperative.</v>
      </c>
      <c r="D294" s="58" t="str">
        <f>VLOOKUP($A294,Questions!$A$3:$X$333,20,0)&amp;""</f>
        <v>This is usually dictated by the government agency for the geographic region and, possibly, by your cybersecurity insurance carrier.</v>
      </c>
    </row>
    <row r="295" spans="1:5" ht="34.5" customHeight="1" x14ac:dyDescent="0.2">
      <c r="A295" s="58" t="s">
        <v>746</v>
      </c>
      <c r="B295" s="58" t="str">
        <f>VLOOKUP($A295,Questions!$A$3:$X$333,2,0)&amp;""</f>
        <v>Will you comply with the institution's policies regarding user privacy and data protection?</v>
      </c>
      <c r="C295" s="58" t="str">
        <f>VLOOKUP($A295,Questions!$A$3:$X$333,19,0)&amp;""</f>
        <v>This question can help gauge a solution provider's willingness to align with institutional data privacy and protection policies before the contracting stage.</v>
      </c>
      <c r="D295" s="58" t="str">
        <f>VLOOKUP($A295,Questions!$A$3:$X$333,20,0)&amp;""</f>
        <v>Do any parts of your instituitonal policy conflict with the solution provider's standard practices?</v>
      </c>
    </row>
    <row r="296" spans="1:5" ht="40.5" customHeight="1" x14ac:dyDescent="0.2">
      <c r="A296" s="58" t="s">
        <v>748</v>
      </c>
      <c r="B296" s="58" t="str">
        <f>VLOOKUP($A296,Questions!$A$3:$X$333,2,0)&amp;""</f>
        <v>Is your company subject to the laws and regulations of the institution's geographic region?</v>
      </c>
      <c r="C296" s="58" t="str">
        <f>VLOOKUP($A296,Questions!$A$3:$X$333,19,0)&amp;""</f>
        <v>This question identifies whether the institution and solution provider are beholden to the same laws. If not, this should be covered in the contract.</v>
      </c>
      <c r="D296" s="58" t="str">
        <f>VLOOKUP($A296,Questions!$A$3:$X$333,20,0)&amp;""</f>
        <v>Which laws apply to your operations in institution's region? Where is institutional data processed or stored? Provide a link or document summarizing your compliance stance.</v>
      </c>
    </row>
    <row r="297" spans="1:5" ht="21.75" customHeight="1" x14ac:dyDescent="0.2">
      <c r="A297" s="58" t="s">
        <v>750</v>
      </c>
      <c r="B297" s="58" t="str">
        <f>VLOOKUP($A297,Questions!$A$3:$X$333,2,0)&amp;""</f>
        <v>Do you have a privacy awareness/training program?*</v>
      </c>
      <c r="C297" s="58" t="str">
        <f>VLOOKUP($A297,Questions!$A$3:$X$333,19,0)&amp;""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297" s="58" t="str">
        <f>VLOOKUP($A297,Questions!$A$3:$X$333,20,0)&amp;""</f>
        <v/>
      </c>
    </row>
    <row r="298" spans="1:5" ht="27.75" customHeight="1" x14ac:dyDescent="0.2">
      <c r="A298" s="58" t="s">
        <v>751</v>
      </c>
      <c r="B298" s="58" t="str">
        <f>VLOOKUP($A298,Questions!$A$3:$X$333,2,0)&amp;""</f>
        <v>Is privacy awareness training mandatory for all employees?</v>
      </c>
      <c r="C298" s="58" t="str">
        <f>VLOOKUP($A298,Questions!$A$3:$X$333,19,0)&amp;""</f>
        <v>This question serves a critical purpose in evaluating a vendor or institution’s commitment to data protection, risk mitigation, and regulatory compliance.</v>
      </c>
      <c r="D298" s="58" t="str">
        <f>VLOOKUP($A298,Questions!$A$3:$X$333,20,0)&amp;""</f>
        <v>This question helps assess whether privacy is treated as an organizational responsibility and whether the institution enforces consistent practices to reduce human risk factors.</v>
      </c>
    </row>
    <row r="299" spans="1:5" ht="36" customHeight="1" x14ac:dyDescent="0.2">
      <c r="A299" s="58" t="s">
        <v>754</v>
      </c>
      <c r="B299" s="58" t="str">
        <f>VLOOKUP($A299,Questions!$A$3:$X$333,2,0)&amp;""</f>
        <v>Is AI privacy and ethics awareness/training required for all employees who work with AI?</v>
      </c>
      <c r="C299" s="58" t="str">
        <f>VLOOKUP($A299,Questions!$A$3:$X$333,19,0)&amp;""</f>
        <v>This question is intended to assess whether an institution or vendor is proactively managing the risks, responsibilities, and ethical implications of AI use, especially as it relates to sensitive data, autonomy, and fairness.</v>
      </c>
      <c r="D299" s="58" t="str">
        <f>VLOOKUP($A299,Questions!$A$3:$X$333,20,0)&amp;""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00" spans="1:5" ht="32.25" customHeight="1" x14ac:dyDescent="0.2">
      <c r="A300" s="58" t="s">
        <v>757</v>
      </c>
      <c r="B300" s="58" t="str">
        <f>VLOOKUP($A300,Questions!$A$3:$X$333,2,0)&amp;""</f>
        <v>Do you have any decision-making processes that are completely automated (i.e., there is no human involvement)?</v>
      </c>
      <c r="C300" s="58" t="str">
        <f>VLOOKUP($A300,Questions!$A$3:$X$333,19,0)&amp;""</f>
        <v>This question identifies potential privacy, ethical, security, and compliance risks that may arise from fully automated systems, especially those that affect individuals or their data.</v>
      </c>
      <c r="D300" s="58" t="str">
        <f>VLOOKUP($A300,Questions!$A$3:$X$333,20,0)&amp;""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row>
    <row r="301" spans="1:5" ht="48" customHeight="1" x14ac:dyDescent="0.2">
      <c r="A301" s="58" t="s">
        <v>758</v>
      </c>
      <c r="B301" s="58" t="str">
        <f>VLOOKUP($A301,Questions!$A$3:$X$333,2,0)&amp;""</f>
        <v>Do you have a documented process for managing automated processing, including validations, monitoring, and data subject requests?</v>
      </c>
      <c r="C301" s="58" t="str">
        <f>VLOOKUP($A301,Questions!$A$3:$X$333,19,0)&amp;""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01" s="58" t="str">
        <f>VLOOKUP($A301,Questions!$A$3:$X$333,20,0)&amp;""</f>
        <v/>
      </c>
    </row>
    <row r="302" spans="1:5" ht="39" customHeight="1" x14ac:dyDescent="0.2">
      <c r="A302" s="58" t="s">
        <v>760</v>
      </c>
      <c r="B302" s="58" t="str">
        <f>VLOOKUP($A302,Questions!$A$3:$X$333,2,0)&amp;""</f>
        <v>Do you have a documented policy for sharing information with law enforcement?</v>
      </c>
      <c r="C302" s="58" t="str">
        <f>VLOOKUP($A302,Questions!$A$3:$X$333,19,0)&amp;""</f>
        <v>The insitution should know which laws apply to the data to which the solution provider will have access. You should also have a thorough understanding of how requests from law enforcement will be handled.</v>
      </c>
      <c r="D302" s="58" t="str">
        <f>VLOOKUP($A302,Questions!$A$3:$X$333,20,0)&amp;""</f>
        <v/>
      </c>
    </row>
    <row r="303" spans="1:5" ht="33" customHeight="1" x14ac:dyDescent="0.2">
      <c r="A303" s="58" t="s">
        <v>763</v>
      </c>
      <c r="B303" s="58" t="str">
        <f>VLOOKUP($A303,Questions!$A$3:$X$333,2,0)&amp;""</f>
        <v>Do you share any institutional data with law enforcement without a valid warrant or subpoena?*</v>
      </c>
      <c r="C303" s="58" t="str">
        <f>VLOOKUP($A303,Questions!$A$3:$X$333,19,0)&amp;""</f>
        <v/>
      </c>
      <c r="D303" s="58" t="str">
        <f>VLOOKUP($A303,Questions!$A$3:$X$333,20,0)&amp;""</f>
        <v/>
      </c>
    </row>
    <row r="304" spans="1:5" ht="24.75" customHeight="1" x14ac:dyDescent="0.2">
      <c r="A304" s="58" t="s">
        <v>764</v>
      </c>
      <c r="B304" s="58" t="str">
        <f>VLOOKUP($A304,Questions!$A$3:$X$333,2,0)&amp;""</f>
        <v>Does your incident response team include a privacy analyst/officer?</v>
      </c>
      <c r="C304" s="58" t="str">
        <f>VLOOKUP($A304,Questions!$A$3:$X$333,19,0)&amp;""</f>
        <v>Having a privacy analyst/officer on an incident response team can help the company more quickly identify a breach and comply with applicable notification laws.</v>
      </c>
      <c r="D304" s="58" t="str">
        <f>VLOOKUP($A304,Questions!$A$3:$X$333,20,0)&amp;""</f>
        <v/>
      </c>
      <c r="E304" s="242" t="s">
        <v>1510</v>
      </c>
    </row>
    <row r="305" spans="1:5" ht="18" x14ac:dyDescent="0.2">
      <c r="A305" s="64" t="str">
        <f>VLOOKUP(LEFT($A306,4),'Auto Responses'!$N$4:$O$38,2,0)&amp;""</f>
        <v xml:space="preserve"> International Privacy</v>
      </c>
      <c r="B305" s="64"/>
      <c r="C305" s="57" t="str">
        <f>Questions!$S$2</f>
        <v>Reason for Question</v>
      </c>
      <c r="D305" s="57" t="str">
        <f>Questions!$T$2</f>
        <v>Follow-Up Inquiries/Responses</v>
      </c>
    </row>
    <row r="306" spans="1:5" ht="31.5" customHeight="1" x14ac:dyDescent="0.2">
      <c r="A306" s="58" t="s">
        <v>766</v>
      </c>
      <c r="B306" s="58" t="str">
        <f>VLOOKUP($A306,Questions!$A$3:$X$333,2,0)&amp;""</f>
        <v>Will data be collected from or processed in or stored in the European Economic Area (EEA)?</v>
      </c>
      <c r="C306" s="58" t="str">
        <f>VLOOKUP($A306,Questions!$A$3:$X$333,19,0)&amp;""</f>
        <v>Understanding whether the vendor processes data in Europe may help with institutional GDPR compliance.</v>
      </c>
      <c r="D306" s="58" t="str">
        <f>VLOOKUP($A306,Questions!$A$3:$X$333,20,0)&amp;""</f>
        <v>If institution's intended use includes targeting of data subjects in EEA/UK and if vendor marks "no," institution might want to follow up to clarify data collected.</v>
      </c>
    </row>
    <row r="307" spans="1:5" ht="24.75" customHeight="1" x14ac:dyDescent="0.2">
      <c r="A307" s="58" t="s">
        <v>769</v>
      </c>
      <c r="B307" s="58" t="str">
        <f>VLOOKUP($A307,Questions!$A$3:$X$333,2,0)&amp;""</f>
        <v>Do you have a data protection officer (DPO)?</v>
      </c>
      <c r="C307" s="58" t="str">
        <f>VLOOKUP($A307,Questions!$A$3:$X$333,19,0)&amp;""</f>
        <v>Vendors targeting services in the EEA/UK should have GDPR-compliant policies and procedures.</v>
      </c>
      <c r="D307" s="58" t="str">
        <f>VLOOKUP($A307,Questions!$A$3:$X$333,20,0)&amp;""</f>
        <v/>
      </c>
    </row>
    <row r="308" spans="1:5" ht="33" customHeight="1" x14ac:dyDescent="0.2">
      <c r="A308" s="58" t="s">
        <v>771</v>
      </c>
      <c r="B308" s="58" t="str">
        <f>VLOOKUP($A308,Questions!$A$3:$X$333,2,0)&amp;""</f>
        <v>Will you sign appropriate GDPR Standard Contractual Clauses (SCCs) with the institution?</v>
      </c>
      <c r="C308" s="58" t="str">
        <f>VLOOKUP($A308,Questions!$A$3:$X$333,19,0)&amp;""</f>
        <v>Vendors targeting services in the EEA/UK should have the ability to agree to the SCCs.</v>
      </c>
      <c r="D308" s="58" t="str">
        <f>VLOOKUP($A308,Questions!$A$3:$X$333,20,0)&amp;""</f>
        <v/>
      </c>
    </row>
    <row r="309" spans="1:5" ht="22.5" customHeight="1" x14ac:dyDescent="0.2">
      <c r="A309" s="58" t="s">
        <v>773</v>
      </c>
      <c r="B309" s="58" t="str">
        <f>VLOOKUP($A309,Questions!$A$3:$X$333,2,0)&amp;""</f>
        <v>Will data be collected from or processed in or stored in China?</v>
      </c>
      <c r="C309" s="58" t="str">
        <f>VLOOKUP($A309,Questions!$A$3:$X$333,19,0)&amp;""</f>
        <v>Understanding whether the vendor processes data in China may help with institutional PIPL compliance.</v>
      </c>
      <c r="D309" s="58" t="str">
        <f>VLOOKUP($A309,Questions!$A$3:$X$333,20,0)&amp;""</f>
        <v>If institution's intended use includes targeting of data subjects in China and if vendor marks "no," institution might want to follow up to clarify data collected.</v>
      </c>
    </row>
    <row r="310" spans="1:5" ht="34.5" customHeight="1" x14ac:dyDescent="0.2">
      <c r="A310" s="58" t="s">
        <v>776</v>
      </c>
      <c r="B310" s="58" t="str">
        <f>VLOOKUP($A310,Questions!$A$3:$X$333,2,0)&amp;""</f>
        <v>Do you comply with PIPL security, privacy, and data localization requirements?</v>
      </c>
      <c r="C310" s="58" t="str">
        <f>VLOOKUP($A310,Questions!$A$3:$X$333,19,0)&amp;""</f>
        <v>Vendors targeting services in China should have the ability to comply with PIPL requirements.</v>
      </c>
      <c r="D310" s="58" t="str">
        <f>VLOOKUP($A310,Questions!$A$3:$X$333,20,0)&amp;""</f>
        <v/>
      </c>
      <c r="E310" s="242" t="s">
        <v>1510</v>
      </c>
    </row>
    <row r="311" spans="1:5" ht="18" x14ac:dyDescent="0.2">
      <c r="A311" s="64" t="str">
        <f>VLOOKUP(LEFT($A312,4),'Auto Responses'!$N$4:$O$38,2,0)&amp;""</f>
        <v xml:space="preserve"> Data Privacy</v>
      </c>
      <c r="B311" s="64"/>
      <c r="C311" s="57" t="str">
        <f>Questions!$S$2</f>
        <v>Reason for Question</v>
      </c>
      <c r="D311" s="57" t="str">
        <f>Questions!$T$2</f>
        <v>Follow-Up Inquiries/Responses</v>
      </c>
    </row>
    <row r="312" spans="1:5" ht="28.5" x14ac:dyDescent="0.2">
      <c r="A312" s="58" t="s">
        <v>1071</v>
      </c>
      <c r="B312" s="58" t="str">
        <f>VLOOKUP($A312,Questions!$A$3:$X$333,2,0)&amp;""</f>
        <v>Have you performed a Data Privacy Impact Assesssment for the solution/project?</v>
      </c>
      <c r="C312" s="58" t="str">
        <f>VLOOKUP($A312,Questions!$A$3:$X$333,19,0)&amp;""</f>
        <v/>
      </c>
      <c r="D312" s="58" t="str">
        <f>VLOOKUP($A312,Questions!$A$3:$X$333,20,0)&amp;""</f>
        <v/>
      </c>
    </row>
    <row r="313" spans="1:5" ht="42.75" x14ac:dyDescent="0.2">
      <c r="A313" s="58" t="s">
        <v>1072</v>
      </c>
      <c r="B313" s="58" t="str">
        <f>VLOOKUP($A313,Questions!$A$3:$X$333,2,0)&amp;""</f>
        <v>Do you provide an end-user privacy notice about privacy policies and procedures that identify the purpose(s) for which personal information is collected, used, retained, and disclosed?</v>
      </c>
      <c r="C313" s="58" t="str">
        <f>VLOOKUP($A313,Questions!$A$3:$X$333,19,0)&amp;""</f>
        <v/>
      </c>
      <c r="D313" s="58" t="str">
        <f>VLOOKUP($A313,Questions!$A$3:$X$333,20,0)&amp;""</f>
        <v>How do you inform users of changes to the policy?</v>
      </c>
    </row>
    <row r="314" spans="1:5" ht="42.75" x14ac:dyDescent="0.2">
      <c r="A314" s="58" t="s">
        <v>1073</v>
      </c>
      <c r="B314" s="58" t="str">
        <f>VLOOKUP($A314,Questions!$A$3:$X$333,2,0)&amp;""</f>
        <v>Do you describe the choices available to the individual and obtain implicit or explicit consent with respect to the collection, use, and disclosure of personal information?</v>
      </c>
      <c r="C314" s="58" t="str">
        <f>VLOOKUP($A314,Questions!$A$3:$X$333,19,0)&amp;""</f>
        <v/>
      </c>
      <c r="D314" s="58" t="str">
        <f>VLOOKUP($A314,Questions!$A$3:$X$333,20,0)&amp;""</f>
        <v/>
      </c>
    </row>
    <row r="315" spans="1:5" ht="42.75" x14ac:dyDescent="0.2">
      <c r="A315" s="58" t="s">
        <v>1074</v>
      </c>
      <c r="B315" s="58" t="str">
        <f>VLOOKUP($A315,Questions!$A$3:$X$333,2,0)&amp;""</f>
        <v>Do you collect personal information only for the purpose(s) identified in the agreement with an institution or, if there is none, the purpose(s) identified in the privacy notice?</v>
      </c>
      <c r="C315" s="58" t="str">
        <f>VLOOKUP($A315,Questions!$A$3:$X$333,19,0)&amp;""</f>
        <v>Companies may collect information for purposes not outlined in the service agreement, including quality assurance, marketing, etc. Instituions should have a thorough understanding of what data is being used and how.</v>
      </c>
      <c r="D315" s="58" t="str">
        <f>VLOOKUP($A315,Questions!$A$3:$X$333,20,0)&amp;""</f>
        <v/>
      </c>
    </row>
    <row r="316" spans="1:5" ht="24.75" customHeight="1" x14ac:dyDescent="0.2">
      <c r="A316" s="58" t="s">
        <v>1075</v>
      </c>
      <c r="B316" s="58" t="str">
        <f>VLOOKUP($A316,Questions!$A$3:$X$333,2,0)&amp;""</f>
        <v>Do you have a documented list of personal data your service maintains?</v>
      </c>
      <c r="C316" s="58" t="str">
        <f>VLOOKUP($A316,Questions!$A$3:$X$333,19,0)&amp;""</f>
        <v/>
      </c>
      <c r="D316" s="58" t="str">
        <f>VLOOKUP($A316,Questions!$A$3:$X$333,20,0)&amp;""</f>
        <v/>
      </c>
    </row>
    <row r="317" spans="1:5" ht="42.75" x14ac:dyDescent="0.2">
      <c r="A317" s="58" t="s">
        <v>1076</v>
      </c>
      <c r="B317" s="58" t="str">
        <f>VLOOKUP($A317,Questions!$A$3:$X$333,2,0)&amp;""</f>
        <v>Do you retain personal information for only as long as necessary to fulfill the stated purpose(s) or as required by law or regulation and thereafter appropriately dispose of such information?</v>
      </c>
      <c r="C317" s="58" t="str">
        <f>VLOOKUP($A317,Questions!$A$3:$X$333,19,0)&amp;""</f>
        <v>Data minimization is a basic privacy principle, and it is important to know whether the solution provider is keeping data longer than necessary and introducing a significant privacy risk.</v>
      </c>
      <c r="D317" s="58" t="str">
        <f>VLOOKUP($A317,Questions!$A$3:$X$333,20,0)&amp;""</f>
        <v/>
      </c>
    </row>
    <row r="318" spans="1:5" ht="71.25" x14ac:dyDescent="0.2">
      <c r="A318" s="58" t="s">
        <v>1077</v>
      </c>
      <c r="B318" s="58" t="str">
        <f>VLOOKUP($A318,Questions!$A$3:$X$333,2,0)&amp;""</f>
        <v>Do you provide individuals with access to their personal information for review and update (i.e., data subject rights)?</v>
      </c>
      <c r="C318" s="58" t="str">
        <f>VLOOKUP($A318,Questions!$A$3:$X$333,19,0)&amp;""</f>
        <v>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v>
      </c>
      <c r="D318" s="58" t="str">
        <f>VLOOKUP($A318,Questions!$A$3:$X$333,20,0)&amp;""</f>
        <v/>
      </c>
    </row>
    <row r="319" spans="1:5" ht="42.75" x14ac:dyDescent="0.2">
      <c r="A319" s="58" t="s">
        <v>1078</v>
      </c>
      <c r="B319" s="58" t="str">
        <f>VLOOKUP($A319,Questions!$A$3:$X$333,2,0)&amp;""</f>
        <v>Do you disclose personal information to third parties only for the purpose(s) identified in the privacy notice or with the implicit or explicit consent of the individual?</v>
      </c>
      <c r="C319" s="58" t="str">
        <f>VLOOKUP($A319,Questions!$A$3:$X$333,19,0)&amp;""</f>
        <v/>
      </c>
      <c r="D319" s="58" t="str">
        <f>VLOOKUP($A319,Questions!$A$3:$X$333,20,0)&amp;""</f>
        <v/>
      </c>
    </row>
    <row r="320" spans="1:5" ht="28.5" x14ac:dyDescent="0.2">
      <c r="A320" s="58" t="s">
        <v>1079</v>
      </c>
      <c r="B320" s="58" t="str">
        <f>VLOOKUP($A320,Questions!$A$3:$X$333,2,0)&amp;""</f>
        <v>Do you protect personal information against unauthorized access (both physical and logical)?</v>
      </c>
      <c r="C320" s="58" t="str">
        <f>VLOOKUP($A320,Questions!$A$3:$X$333,19,0)&amp;""</f>
        <v/>
      </c>
      <c r="D320" s="58" t="str">
        <f>VLOOKUP($A320,Questions!$A$3:$X$333,20,0)&amp;""</f>
        <v/>
      </c>
    </row>
    <row r="321" spans="1:5" ht="40.5" customHeight="1" x14ac:dyDescent="0.2">
      <c r="A321" s="58" t="s">
        <v>1080</v>
      </c>
      <c r="B321" s="58" t="str">
        <f>VLOOKUP($A321,Questions!$A$3:$X$333,2,0)&amp;""</f>
        <v>Do you maintain accurate, complete, and relevant personal information for the purposes identified in the privacy notice?</v>
      </c>
      <c r="C321" s="58" t="str">
        <f>VLOOKUP($A321,Questions!$A$3:$X$333,19,0)&amp;""</f>
        <v/>
      </c>
      <c r="D321" s="58" t="str">
        <f>VLOOKUP($A321,Questions!$A$3:$X$333,20,0)&amp;""</f>
        <v/>
      </c>
    </row>
    <row r="322" spans="1:5" ht="35.25" customHeight="1" x14ac:dyDescent="0.2">
      <c r="A322" s="58" t="s">
        <v>1081</v>
      </c>
      <c r="B322" s="58" t="str">
        <f>VLOOKUP($A322,Questions!$A$3:$X$333,2,0)&amp;""</f>
        <v>Do you have procedures to address privacy-related noncompliance complaints and disputes?</v>
      </c>
      <c r="C322" s="58" t="str">
        <f>VLOOKUP($A322,Questions!$A$3:$X$333,19,0)&amp;""</f>
        <v/>
      </c>
      <c r="D322" s="58" t="str">
        <f>VLOOKUP($A322,Questions!$A$3:$X$333,20,0)&amp;""</f>
        <v/>
      </c>
    </row>
    <row r="323" spans="1:5" ht="22.5" customHeight="1" x14ac:dyDescent="0.2">
      <c r="A323" s="58" t="s">
        <v>1082</v>
      </c>
      <c r="B323" s="58" t="str">
        <f>VLOOKUP($A323,Questions!$A$3:$X$333,2,0)&amp;""</f>
        <v>Do you "anonymize," "de-identify," or otherwise mask personal data?</v>
      </c>
      <c r="C323" s="58" t="str">
        <f>VLOOKUP($A323,Questions!$A$3:$X$333,19,0)&amp;""</f>
        <v/>
      </c>
      <c r="D323" s="58" t="str">
        <f>VLOOKUP($A323,Questions!$A$3:$X$333,20,0)&amp;""</f>
        <v/>
      </c>
    </row>
    <row r="324" spans="1:5" ht="78" customHeight="1" x14ac:dyDescent="0.2">
      <c r="A324" s="58" t="s">
        <v>1083</v>
      </c>
      <c r="B324" s="58" t="str">
        <f>VLOOKUP($A324,Questions!$A$3:$X$333,2,0)&amp;""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24" s="58" t="str">
        <f>VLOOKUP($A324,Questions!$A$3:$X$333,19,0)&amp;""</f>
        <v/>
      </c>
      <c r="D324" s="58" t="str">
        <f>VLOOKUP($A324,Questions!$A$3:$X$333,20,0)&amp;""</f>
        <v/>
      </c>
    </row>
    <row r="325" spans="1:5" ht="35.25" customHeight="1" x14ac:dyDescent="0.2">
      <c r="A325" s="58" t="s">
        <v>1084</v>
      </c>
      <c r="B325" s="58" t="str">
        <f>VLOOKUP($A325,Questions!$A$3:$X$333,2,0)&amp;""</f>
        <v>Do you certify stop-processing requests, including any data that is processed by a third party on your behalf?</v>
      </c>
      <c r="C325" s="58" t="str">
        <f>VLOOKUP($A325,Questions!$A$3:$X$333,19,0)&amp;""</f>
        <v>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25" s="58" t="str">
        <f>VLOOKUP($A325,Questions!$A$3:$X$333,20,0)&amp;""</f>
        <v>If your organization has exchange programs or does business with global organzations or organizations located outside the United States, depending on the services sought, your institution should determine whether this is a requirement.</v>
      </c>
    </row>
    <row r="326" spans="1:5" ht="21" customHeight="1" x14ac:dyDescent="0.2">
      <c r="A326" s="58" t="s">
        <v>1085</v>
      </c>
      <c r="B326" s="58" t="str">
        <f>VLOOKUP($A326,Questions!$A$3:$X$333,2,0)&amp;""</f>
        <v>Do you have a process to review code for ethical considerations?</v>
      </c>
      <c r="C326" s="58" t="str">
        <f>VLOOKUP($A326,Questions!$A$3:$X$333,19,0)&amp;""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26" s="58" t="str">
        <f>VLOOKUP($A326,Questions!$A$3:$X$333,20,0)&amp;""</f>
        <v/>
      </c>
      <c r="E326" s="242" t="s">
        <v>1510</v>
      </c>
    </row>
    <row r="327" spans="1:5" ht="18" x14ac:dyDescent="0.2">
      <c r="A327" s="64" t="str">
        <f>VLOOKUP(LEFT($A328,4),'Auto Responses'!$N$4:$O$38,2,0)&amp;""</f>
        <v xml:space="preserve"> Privacy and AI</v>
      </c>
      <c r="B327" s="64"/>
      <c r="C327" s="57" t="str">
        <f>Questions!$S$2</f>
        <v>Reason for Question</v>
      </c>
      <c r="D327" s="57" t="str">
        <f>Questions!$T$2</f>
        <v>Follow-Up Inquiries/Responses</v>
      </c>
    </row>
    <row r="328" spans="1:5" ht="42.95" customHeight="1" x14ac:dyDescent="0.2">
      <c r="A328" s="58" t="s">
        <v>1086</v>
      </c>
      <c r="B328" s="58" t="str">
        <f>VLOOKUP($A328,Questions!$A$3:$X$333,2,0)&amp;""</f>
        <v>Does your service use AI for the processing of institutional data?</v>
      </c>
      <c r="C328" s="58" t="str">
        <f>VLOOKUP($A328,Questions!$A$3:$X$333,18,0)&amp;""</f>
        <v/>
      </c>
      <c r="D328" s="58" t="str">
        <f>VLOOKUP($A328,Questions!$A$3:$X$333,19,0)&amp;""</f>
        <v/>
      </c>
    </row>
    <row r="329" spans="1:5" ht="42.95" customHeight="1" x14ac:dyDescent="0.2">
      <c r="A329" s="58" t="s">
        <v>1087</v>
      </c>
      <c r="B329" s="58" t="str">
        <f>VLOOKUP($A329,Questions!$A$3:$X$333,2,0)&amp;""</f>
        <v>Is any institutional data retained in AI processing?*</v>
      </c>
      <c r="C329" s="58" t="str">
        <f>VLOOKUP($A329,Questions!$A$3:$X$333,18,0)&amp;""</f>
        <v>Please explain why this does not apply to your product or service.</v>
      </c>
      <c r="D329" s="58" t="str">
        <f>VLOOKUP($A329,Questions!$A$3:$X$333,19,0)&amp;""</f>
        <v>This question assesses whether institutional data is stored or retained during AI processing, which may have implications for data security, retention policies, and regulatory compliance.</v>
      </c>
    </row>
    <row r="330" spans="1:5" ht="42.95" customHeight="1" x14ac:dyDescent="0.2">
      <c r="A330" s="58" t="s">
        <v>787</v>
      </c>
      <c r="B330" s="58" t="str">
        <f>VLOOKUP($A330,Questions!$A$3:$X$333,2,0)&amp;""</f>
        <v>Do you have agreements in place with third parties or subprocessors regarding the protection of customer data and use of AI?*</v>
      </c>
      <c r="C330" s="58" t="str">
        <f>VLOOKUP($A330,Questions!$A$3:$X$333,18,0)&amp;""</f>
        <v>Please explain why this does not apply to your product or service.</v>
      </c>
      <c r="D330" s="58" t="str">
        <f>VLOOKUP($A330,Questions!$A$3:$X$333,19,0)&amp;""</f>
        <v>It's important to ensure that third-party vendors or subprocessors involved in AI processing are contractually bound to protect institutional data and comply with privacy standards.</v>
      </c>
    </row>
    <row r="331" spans="1:5" ht="42.95" customHeight="1" x14ac:dyDescent="0.2">
      <c r="A331" s="58" t="s">
        <v>789</v>
      </c>
      <c r="B331" s="58" t="str">
        <f>VLOOKUP($A331,Questions!$A$3:$X$333,2,0)&amp;""</f>
        <v>Will institutional data be processed through a third party or subprocessor that also uses AI?</v>
      </c>
      <c r="C331" s="58" t="str">
        <f>VLOOKUP($A331,Questions!$A$3:$X$333,18,0)&amp;""</f>
        <v/>
      </c>
      <c r="D331" s="58" t="str">
        <f>VLOOKUP($A331,Questions!$A$3:$X$333,19,0)&amp;""</f>
        <v>This question identifies whether institutional data is shared with or processed by third parties that use AI, which may introduce additional privacy or ethical considerations.</v>
      </c>
    </row>
    <row r="332" spans="1:5" ht="42.95" customHeight="1" x14ac:dyDescent="0.2">
      <c r="A332" s="58" t="s">
        <v>790</v>
      </c>
      <c r="B332" s="58" t="str">
        <f>VLOOKUP($A332,Questions!$A$3:$X$333,2,0)&amp;""</f>
        <v>Is AI processing limited to fully licensed commercial enterprise AI services?</v>
      </c>
      <c r="C332" s="58" t="str">
        <f>VLOOKUP($A332,Questions!$A$3:$X$333,18,0)&amp;""</f>
        <v>Please explain why this does not apply to your product or service.</v>
      </c>
      <c r="D332" s="58" t="str">
        <f>VLOOKUP($A332,Questions!$A$3:$X$333,19,0)&amp;""</f>
        <v>In most cases, only enterprise licenses allow for an organization to customize what data is collected and how it is used. Free licenses to AI tools could introduce a risk to data.</v>
      </c>
    </row>
    <row r="333" spans="1:5" ht="42.95" customHeight="1" x14ac:dyDescent="0.2">
      <c r="A333" s="58" t="s">
        <v>792</v>
      </c>
      <c r="B333" s="58" t="str">
        <f>VLOOKUP($A333,Questions!$A$3:$X$333,2,0)&amp;""</f>
        <v>Will institutional data be used or processed by any shared AI services?</v>
      </c>
      <c r="C333" s="58" t="str">
        <f>VLOOKUP($A333,Questions!$A$3:$X$333,18,0)&amp;""</f>
        <v/>
      </c>
      <c r="D333" s="58" t="str">
        <f>VLOOKUP($A333,Questions!$A$3:$X$333,19,0)&amp;""</f>
        <v>Use of AI services and tools runs a risk of being supported by bad batches or databanks of information. Additionally, harmful bias and other data-quality issues can affect AI system trustworthiness, which could lead to negative impacts.</v>
      </c>
    </row>
    <row r="334" spans="1:5" ht="42.95" customHeight="1" x14ac:dyDescent="0.2">
      <c r="A334" s="58" t="s">
        <v>793</v>
      </c>
      <c r="B334" s="58" t="str">
        <f>VLOOKUP($A334,Questions!$A$3:$X$333,2,0)&amp;""</f>
        <v>Do you have safeguards in place to protect institutional data and data privacy from unintended AI queries or processing?</v>
      </c>
      <c r="C334" s="58" t="str">
        <f>VLOOKUP($A334,Questions!$A$3:$X$333,18,0)&amp;""</f>
        <v/>
      </c>
      <c r="D334" s="58" t="str">
        <f>VLOOKUP($A334,Questions!$A$3:$X$333,19,0)&amp;""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35" spans="1:5" ht="42.95" customHeight="1" x14ac:dyDescent="0.2">
      <c r="A335" s="58" t="s">
        <v>794</v>
      </c>
      <c r="B335" s="58" t="str">
        <f>VLOOKUP($A335,Questions!$A$3:$X$333,2,0)&amp;""</f>
        <v>Do you provide choice to the user to opt out of AI use?</v>
      </c>
      <c r="C335" s="58" t="str">
        <f>VLOOKUP($A335,Questions!$A$3:$X$333,18,0)&amp;""</f>
        <v>Please explain why this does not apply to your product or service.</v>
      </c>
      <c r="D335" s="58" t="str">
        <f>VLOOKUP($A335,Questions!$A$3:$X$333,19,0)&amp;""</f>
        <v/>
      </c>
    </row>
    <row r="336" spans="1:5" ht="42.95" customHeight="1" x14ac:dyDescent="0.2">
      <c r="A336" s="64" t="str">
        <f>VLOOKUP(LEFT($A337,4),'Auto Responses'!$N$4:$O$38,2,0)&amp;""</f>
        <v xml:space="preserve"> AI Qualifying Questions</v>
      </c>
      <c r="B336" s="64"/>
      <c r="C336" s="57" t="str">
        <f>Questions!$S$2</f>
        <v>Reason for Question</v>
      </c>
      <c r="D336" s="57" t="str">
        <f>Questions!$T$2</f>
        <v>Follow-Up Inquiries/Responses</v>
      </c>
    </row>
    <row r="337" spans="1:5" ht="42.95" customHeight="1" x14ac:dyDescent="0.2">
      <c r="A337" s="58" t="s">
        <v>796</v>
      </c>
      <c r="B337" s="58" t="str">
        <f>VLOOKUP($A337,Questions!$A$3:$X$333,2,0)&amp;""</f>
        <v>Does your solution leverage machine learning (ML) or do you plan to do so in the next 12 months?</v>
      </c>
      <c r="C337" s="58" t="str">
        <f>VLOOKUP($A337,Questions!$A$3:$X$333,19,0)&amp;""</f>
        <v/>
      </c>
      <c r="D337" s="58" t="str">
        <f>VLOOKUP($A337,Questions!$A$3:$X$333,20,0)&amp;""</f>
        <v/>
      </c>
    </row>
    <row r="338" spans="1:5" ht="42.95" customHeight="1" x14ac:dyDescent="0.2">
      <c r="A338" s="58" t="s">
        <v>798</v>
      </c>
      <c r="B338" s="58" t="str">
        <f>VLOOKUP($A338,Questions!$A$3:$X$333,2,0)&amp;""</f>
        <v>Does your solution leverage a large language model (LLM) or do you plan to do so in the next 12 months?</v>
      </c>
      <c r="C338" s="58" t="str">
        <f>VLOOKUP($A338,Questions!$A$3:$X$333,19,0)&amp;""</f>
        <v/>
      </c>
      <c r="D338" s="58" t="str">
        <f>VLOOKUP($A338,Questions!$A$3:$X$333,20,0)&amp;""</f>
        <v/>
      </c>
      <c r="E338" s="242" t="s">
        <v>1510</v>
      </c>
    </row>
    <row r="339" spans="1:5" ht="42.95" customHeight="1" x14ac:dyDescent="0.2">
      <c r="A339" s="64" t="str">
        <f>VLOOKUP(LEFT($A340,4),'Auto Responses'!$N$4:$O$38,2,0)&amp;""</f>
        <v xml:space="preserve"> General AI Questions</v>
      </c>
      <c r="B339" s="64"/>
      <c r="C339" s="57" t="str">
        <f>Questions!$S$2</f>
        <v>Reason for Question</v>
      </c>
      <c r="D339" s="57" t="str">
        <f>Questions!$T$2</f>
        <v>Follow-Up Inquiries/Responses</v>
      </c>
    </row>
    <row r="340" spans="1:5" ht="42.95" customHeight="1" x14ac:dyDescent="0.2">
      <c r="A340" s="58" t="s">
        <v>800</v>
      </c>
      <c r="B340" s="58" t="str">
        <f>VLOOKUP($A340,Questions!$A$3:$X$333,2,0)&amp;""</f>
        <v>Does your solution have an AI risk model when developing or implementing your solution's AI model?*</v>
      </c>
      <c r="C340" s="58" t="str">
        <f>VLOOKUP($A340,Questions!$A$3:$X$333,19,0)&amp;""</f>
        <v/>
      </c>
      <c r="D340" s="58" t="str">
        <f>VLOOKUP($A340,Questions!$A$3:$X$333,20,0)&amp;""</f>
        <v/>
      </c>
    </row>
    <row r="341" spans="1:5" ht="42.95" customHeight="1" x14ac:dyDescent="0.2">
      <c r="A341" s="58" t="s">
        <v>802</v>
      </c>
      <c r="B341" s="58" t="str">
        <f>VLOOKUP($A341,Questions!$A$3:$X$333,2,0)&amp;""</f>
        <v>Can your solution's AI features be disabled by tenant and/or user?*</v>
      </c>
      <c r="C341" s="58" t="str">
        <f>VLOOKUP($A341,Questions!$A$3:$X$333,19,0)&amp;""</f>
        <v/>
      </c>
      <c r="D341" s="58" t="str">
        <f>VLOOKUP($A341,Questions!$A$3:$X$333,20,0)&amp;""</f>
        <v/>
      </c>
    </row>
    <row r="342" spans="1:5" ht="42.95" customHeight="1" x14ac:dyDescent="0.2">
      <c r="A342" s="58" t="s">
        <v>804</v>
      </c>
      <c r="B342" s="58" t="str">
        <f>VLOOKUP($A342,Questions!$A$3:$X$333,2,0)&amp;""</f>
        <v>Have your staff completed responsible AI training?*</v>
      </c>
      <c r="C342" s="58" t="str">
        <f>VLOOKUP($A342,Questions!$A$3:$X$333,19,0)&amp;""</f>
        <v/>
      </c>
      <c r="D342" s="58" t="str">
        <f>VLOOKUP($A342,Questions!$A$3:$X$333,20,0)&amp;""</f>
        <v/>
      </c>
    </row>
    <row r="343" spans="1:5" ht="42.95" customHeight="1" x14ac:dyDescent="0.2">
      <c r="A343" s="58" t="s">
        <v>805</v>
      </c>
      <c r="B343" s="58" t="str">
        <f>VLOOKUP($A343,Questions!$A$3:$X$333,2,0)&amp;""</f>
        <v>Please describe the capabilities of your solution's AI features.</v>
      </c>
      <c r="C343" s="58" t="str">
        <f>VLOOKUP($A343,Questions!$A$3:$X$333,19,0)&amp;""</f>
        <v/>
      </c>
      <c r="D343" s="58" t="str">
        <f>VLOOKUP($A343,Questions!$A$3:$X$333,20,0)&amp;""</f>
        <v/>
      </c>
    </row>
    <row r="344" spans="1:5" ht="42.95" customHeight="1" x14ac:dyDescent="0.2">
      <c r="A344" s="58" t="s">
        <v>807</v>
      </c>
      <c r="B344" s="58" t="str">
        <f>VLOOKUP($A344,Questions!$A$3:$X$333,2,0)&amp;""</f>
        <v>Does your solution support business rules to protect sensitive data from being ingested by the AI model?</v>
      </c>
      <c r="C344" s="58" t="str">
        <f>VLOOKUP($A344,Questions!$A$3:$X$333,19,0)&amp;""</f>
        <v/>
      </c>
      <c r="D344" s="58" t="str">
        <f>VLOOKUP($A344,Questions!$A$3:$X$333,20,0)&amp;""</f>
        <v/>
      </c>
      <c r="E344" s="242" t="s">
        <v>1510</v>
      </c>
    </row>
    <row r="345" spans="1:5" ht="42.95" customHeight="1" x14ac:dyDescent="0.2">
      <c r="A345" s="64" t="str">
        <f>VLOOKUP(LEFT($A346,4),'Auto Responses'!$N$4:$O$38,2,0)&amp;""</f>
        <v xml:space="preserve"> AI Policy</v>
      </c>
      <c r="B345" s="64"/>
      <c r="C345" s="57" t="str">
        <f>Questions!$S$2</f>
        <v>Reason for Question</v>
      </c>
      <c r="D345" s="57" t="str">
        <f>Questions!$T$2</f>
        <v>Follow-Up Inquiries/Responses</v>
      </c>
    </row>
    <row r="346" spans="1:5" ht="65.25" customHeight="1" x14ac:dyDescent="0.2">
      <c r="A346" s="58" t="s">
        <v>809</v>
      </c>
      <c r="B346" s="58" t="str">
        <f>VLOOKUP($A346,Questions!$A$3:$X$333,2,0)&amp;""</f>
        <v>Are your AI developer's policies, processes, procedures, and practices across the organization related to the mapping, measuring, and managing of AI risks conspicuously posted, unambiguous, and implemented effectively?*</v>
      </c>
      <c r="C346" s="58" t="str">
        <f>VLOOKUP($A346,Questions!$A$3:$X$333,19,0)&amp;""</f>
        <v>To be added in a later version</v>
      </c>
      <c r="D346" s="58" t="str">
        <f>VLOOKUP($A346,Questions!$A$3:$X$333,20,0)&amp;""</f>
        <v>To be added in a later version</v>
      </c>
    </row>
    <row r="347" spans="1:5" ht="42.95" customHeight="1" x14ac:dyDescent="0.2">
      <c r="A347" s="58" t="s">
        <v>810</v>
      </c>
      <c r="B347" s="58" t="str">
        <f>VLOOKUP($A347,Questions!$A$3:$X$333,2,0)&amp;""</f>
        <v>Have you identified and measured AI risks?*</v>
      </c>
      <c r="C347" s="58" t="str">
        <f>VLOOKUP($A347,Questions!$A$3:$X$333,19,0)&amp;""</f>
        <v/>
      </c>
      <c r="D347" s="58" t="str">
        <f>VLOOKUP($A347,Questions!$A$3:$X$333,20,0)&amp;""</f>
        <v/>
      </c>
    </row>
    <row r="348" spans="1:5" ht="42.95" customHeight="1" x14ac:dyDescent="0.2">
      <c r="A348" s="58" t="s">
        <v>811</v>
      </c>
      <c r="B348" s="58" t="str">
        <f>VLOOKUP($A348,Questions!$A$3:$X$333,2,0)&amp;""</f>
        <v>In the event of an incident, can your solution's AI features be disabled in a timely manner?*</v>
      </c>
      <c r="C348" s="58" t="str">
        <f>VLOOKUP($A348,Questions!$A$3:$X$333,19,0)&amp;""</f>
        <v/>
      </c>
      <c r="D348" s="58" t="str">
        <f>VLOOKUP($A348,Questions!$A$3:$X$333,20,0)&amp;""</f>
        <v/>
      </c>
    </row>
    <row r="349" spans="1:5" ht="42.95" customHeight="1" x14ac:dyDescent="0.2">
      <c r="A349" s="58" t="s">
        <v>812</v>
      </c>
      <c r="B349" s="58" t="str">
        <f>VLOOKUP($A349,Questions!$A$3:$X$333,2,0)&amp;""</f>
        <v>If disabled because of an incident, can your solution's AI features be re-enabled in a timely manner?*</v>
      </c>
      <c r="C349" s="58" t="str">
        <f>VLOOKUP($A349,Questions!$A$3:$X$333,19,0)&amp;""</f>
        <v/>
      </c>
      <c r="D349" s="58" t="str">
        <f>VLOOKUP($A349,Questions!$A$3:$X$333,20,0)&amp;""</f>
        <v/>
      </c>
    </row>
    <row r="350" spans="1:5" ht="42.95" customHeight="1" x14ac:dyDescent="0.2">
      <c r="A350" s="58" t="s">
        <v>813</v>
      </c>
      <c r="B350" s="58" t="str">
        <f>VLOOKUP($A350,Questions!$A$3:$X$333,2,0)&amp;""</f>
        <v>Do you have documented technical and procedural processes to address potential negative impacts of AI as described by the AI Risk Management Framework (RMF)?</v>
      </c>
      <c r="C350" s="58" t="str">
        <f>VLOOKUP($A350,Questions!$A$3:$X$333,19,0)&amp;""</f>
        <v/>
      </c>
      <c r="D350" s="58" t="str">
        <f>VLOOKUP($A350,Questions!$A$3:$X$333,20,0)&amp;""</f>
        <v/>
      </c>
      <c r="E350" s="242" t="s">
        <v>1510</v>
      </c>
    </row>
    <row r="351" spans="1:5" ht="42.95" customHeight="1" x14ac:dyDescent="0.2">
      <c r="A351" s="64" t="str">
        <f>VLOOKUP(LEFT($A352,4),'Auto Responses'!$N$4:$O$38,2,0)&amp;""</f>
        <v xml:space="preserve"> AI Data Security</v>
      </c>
      <c r="B351" s="64"/>
      <c r="C351" s="57" t="str">
        <f>Questions!$S$2</f>
        <v>Reason for Question</v>
      </c>
      <c r="D351" s="57" t="str">
        <f>Questions!$T$2</f>
        <v>Follow-Up Inquiries/Responses</v>
      </c>
    </row>
    <row r="352" spans="1:5" ht="42.95" customHeight="1" x14ac:dyDescent="0.2">
      <c r="A352" s="58" t="s">
        <v>814</v>
      </c>
      <c r="B352" s="58" t="str">
        <f>VLOOKUP($A352,Questions!$A$3:$X$333,2,0)&amp;""</f>
        <v>If sensitive data is introduced to your solution's AI model, can the data be removed from the AI model by request?*</v>
      </c>
      <c r="C352" s="58" t="str">
        <f>VLOOKUP($A352,Questions!$A$3:$X$333,19,0)&amp;""</f>
        <v>To be added in a later version</v>
      </c>
      <c r="D352" s="58" t="str">
        <f>VLOOKUP($A352,Questions!$A$3:$X$333,20,0)&amp;""</f>
        <v>To be added in a later version</v>
      </c>
    </row>
    <row r="353" spans="1:5" ht="42.95" customHeight="1" x14ac:dyDescent="0.2">
      <c r="A353" s="58" t="s">
        <v>815</v>
      </c>
      <c r="B353" s="58" t="str">
        <f>VLOOKUP($A353,Questions!$A$3:$X$333,2,0)&amp;""</f>
        <v>Is user input data used to influence your solution's AI model?*</v>
      </c>
      <c r="C353" s="58" t="str">
        <f>VLOOKUP($A353,Questions!$A$3:$X$333,19,0)&amp;""</f>
        <v/>
      </c>
      <c r="D353" s="58" t="str">
        <f>VLOOKUP($A353,Questions!$A$3:$X$333,20,0)&amp;""</f>
        <v/>
      </c>
    </row>
    <row r="354" spans="1:5" ht="42.95" customHeight="1" x14ac:dyDescent="0.2">
      <c r="A354" s="58" t="s">
        <v>816</v>
      </c>
      <c r="B354" s="58" t="str">
        <f>VLOOKUP($A354,Questions!$A$3:$X$333,2,0)&amp;""</f>
        <v>Do you provide logging for your solution's AI feature(s) that includes user, date, and action taken?*</v>
      </c>
      <c r="C354" s="58" t="str">
        <f>VLOOKUP($A354,Questions!$A$3:$X$333,19,0)&amp;""</f>
        <v/>
      </c>
      <c r="D354" s="58" t="str">
        <f>VLOOKUP($A354,Questions!$A$3:$X$333,20,0)&amp;""</f>
        <v/>
      </c>
    </row>
    <row r="355" spans="1:5" ht="42.95" customHeight="1" x14ac:dyDescent="0.2">
      <c r="A355" s="58" t="s">
        <v>818</v>
      </c>
      <c r="B355" s="58" t="str">
        <f>VLOOKUP($A355,Questions!$A$3:$X$333,2,0)&amp;""</f>
        <v>Please describe how you validate user inputs.</v>
      </c>
      <c r="C355" s="58" t="str">
        <f>VLOOKUP($A355,Questions!$A$3:$X$333,19,0)&amp;""</f>
        <v/>
      </c>
      <c r="D355" s="58" t="str">
        <f>VLOOKUP($A355,Questions!$A$3:$X$333,20,0)&amp;""</f>
        <v/>
      </c>
    </row>
    <row r="356" spans="1:5" ht="42.95" customHeight="1" x14ac:dyDescent="0.2">
      <c r="A356" s="58" t="s">
        <v>819</v>
      </c>
      <c r="B356" s="58" t="str">
        <f>VLOOKUP($A356,Questions!$A$3:$X$333,2,0)&amp;""</f>
        <v>Do you plan for and mitigate supply-chain risk related to your AI features?</v>
      </c>
      <c r="C356" s="58" t="str">
        <f>VLOOKUP($A356,Questions!$A$3:$X$333,19,0)&amp;""</f>
        <v/>
      </c>
      <c r="D356" s="58" t="str">
        <f>VLOOKUP($A356,Questions!$A$3:$X$333,20,0)&amp;""</f>
        <v/>
      </c>
      <c r="E356" s="242" t="s">
        <v>1510</v>
      </c>
    </row>
    <row r="357" spans="1:5" ht="42.95" customHeight="1" x14ac:dyDescent="0.2">
      <c r="A357" s="64" t="str">
        <f>VLOOKUP(LEFT($A358,4),'Auto Responses'!$N$4:$O$38,2,0)&amp;""</f>
        <v xml:space="preserve"> AI Machine Learning</v>
      </c>
      <c r="B357" s="64"/>
      <c r="C357" s="57" t="str">
        <f>Questions!$S$2</f>
        <v>Reason for Question</v>
      </c>
      <c r="D357" s="57" t="str">
        <f>Questions!$T$2</f>
        <v>Follow-Up Inquiries/Responses</v>
      </c>
    </row>
    <row r="358" spans="1:5" ht="42.95" customHeight="1" x14ac:dyDescent="0.2">
      <c r="A358" s="58" t="s">
        <v>821</v>
      </c>
      <c r="B358" s="58" t="str">
        <f>VLOOKUP($A358,Questions!$A$3:$X$333,2,0)&amp;""</f>
        <v>Do you separate ML training data from your ML solution data?*</v>
      </c>
      <c r="C358" s="58" t="str">
        <f>VLOOKUP($A358,Questions!$A$3:$X$333,19,0)&amp;""</f>
        <v>To be added in a later version</v>
      </c>
      <c r="D358" s="58" t="str">
        <f>VLOOKUP($A358,Questions!$A$3:$X$333,20,0)&amp;""</f>
        <v>To be added in a later version</v>
      </c>
    </row>
    <row r="359" spans="1:5" ht="42.95" customHeight="1" x14ac:dyDescent="0.2">
      <c r="A359" s="58" t="s">
        <v>823</v>
      </c>
      <c r="B359" s="58" t="str">
        <f>VLOOKUP($A359,Questions!$A$3:$X$333,2,0)&amp;""</f>
        <v>Do you authenticate and verify your ML model's feedback?*</v>
      </c>
      <c r="C359" s="58" t="str">
        <f>VLOOKUP($A359,Questions!$A$3:$X$333,19,0)&amp;""</f>
        <v/>
      </c>
      <c r="D359" s="58" t="str">
        <f>VLOOKUP($A359,Questions!$A$3:$X$333,20,0)&amp;""</f>
        <v/>
      </c>
    </row>
    <row r="360" spans="1:5" ht="42.95" customHeight="1" x14ac:dyDescent="0.2">
      <c r="A360" s="58" t="s">
        <v>825</v>
      </c>
      <c r="B360" s="58" t="str">
        <f>VLOOKUP($A360,Questions!$A$3:$X$333,2,0)&amp;""</f>
        <v>Is your ML training data vetted, validated, and verified before training the solution's AI model?</v>
      </c>
      <c r="C360" s="58" t="str">
        <f>VLOOKUP($A360,Questions!$A$3:$X$333,19,0)&amp;""</f>
        <v/>
      </c>
      <c r="D360" s="58" t="str">
        <f>VLOOKUP($A360,Questions!$A$3:$X$333,20,0)&amp;""</f>
        <v/>
      </c>
    </row>
    <row r="361" spans="1:5" ht="42.95" customHeight="1" x14ac:dyDescent="0.2">
      <c r="A361" s="58" t="s">
        <v>828</v>
      </c>
      <c r="B361" s="58" t="str">
        <f>VLOOKUP($A361,Questions!$A$3:$X$333,2,0)&amp;""</f>
        <v>Is your ML training data monitored and audited?</v>
      </c>
      <c r="C361" s="58" t="str">
        <f>VLOOKUP($A361,Questions!$A$3:$X$333,19,0)&amp;""</f>
        <v/>
      </c>
      <c r="D361" s="58" t="str">
        <f>VLOOKUP($A361,Questions!$A$3:$X$333,20,0)&amp;""</f>
        <v/>
      </c>
    </row>
    <row r="362" spans="1:5" ht="42.95" customHeight="1" x14ac:dyDescent="0.2">
      <c r="A362" s="58" t="s">
        <v>831</v>
      </c>
      <c r="B362" s="58" t="str">
        <f>VLOOKUP($A362,Questions!$A$3:$X$333,2,0)&amp;""</f>
        <v>Have you limited access to your ML training data to only staff with an explicit business need?</v>
      </c>
      <c r="C362" s="58" t="str">
        <f>VLOOKUP($A362,Questions!$A$3:$X$333,19,0)&amp;""</f>
        <v/>
      </c>
      <c r="D362" s="58" t="str">
        <f>VLOOKUP($A362,Questions!$A$3:$X$333,20,0)&amp;""</f>
        <v/>
      </c>
    </row>
    <row r="363" spans="1:5" ht="42.95" customHeight="1" x14ac:dyDescent="0.2">
      <c r="A363" s="58" t="s">
        <v>833</v>
      </c>
      <c r="B363" s="58" t="str">
        <f>VLOOKUP($A363,Questions!$A$3:$X$333,2,0)&amp;""</f>
        <v>Have you implemented adversarial training or other model defense mechanisms to protect your ML-related features?</v>
      </c>
      <c r="C363" s="58" t="str">
        <f>VLOOKUP($A363,Questions!$A$3:$X$333,19,0)&amp;""</f>
        <v/>
      </c>
      <c r="D363" s="58" t="str">
        <f>VLOOKUP($A363,Questions!$A$3:$X$333,20,0)&amp;""</f>
        <v/>
      </c>
    </row>
    <row r="364" spans="1:5" ht="42.95" customHeight="1" x14ac:dyDescent="0.2">
      <c r="A364" s="58" t="s">
        <v>835</v>
      </c>
      <c r="B364" s="58" t="str">
        <f>VLOOKUP($A364,Questions!$A$3:$X$333,2,0)&amp;""</f>
        <v>Do you make your ML model transparent through documentation and log inputs and outputs?</v>
      </c>
      <c r="C364" s="58" t="str">
        <f>VLOOKUP($A364,Questions!$A$3:$X$333,19,0)&amp;""</f>
        <v/>
      </c>
      <c r="D364" s="58" t="str">
        <f>VLOOKUP($A364,Questions!$A$3:$X$333,20,0)&amp;""</f>
        <v/>
      </c>
    </row>
    <row r="365" spans="1:5" ht="42.95" customHeight="1" x14ac:dyDescent="0.2">
      <c r="A365" s="58" t="s">
        <v>838</v>
      </c>
      <c r="B365" s="58" t="str">
        <f>VLOOKUP($A365,Questions!$A$3:$X$333,2,0)&amp;""</f>
        <v>Do you watermark your ML training data?</v>
      </c>
      <c r="C365" s="58" t="str">
        <f>VLOOKUP($A365,Questions!$A$3:$X$333,19,0)&amp;""</f>
        <v/>
      </c>
      <c r="D365" s="58" t="str">
        <f>VLOOKUP($A365,Questions!$A$3:$X$333,20,0)&amp;""</f>
        <v/>
      </c>
      <c r="E365" s="242" t="s">
        <v>1510</v>
      </c>
    </row>
    <row r="366" spans="1:5" ht="42.95" customHeight="1" x14ac:dyDescent="0.2">
      <c r="A366" s="64" t="str">
        <f>VLOOKUP(LEFT($A367,4),'Auto Responses'!$N$4:$O$38,2,0)&amp;""</f>
        <v xml:space="preserve"> AI Large Language Model (LLM)</v>
      </c>
      <c r="B366" s="64"/>
      <c r="C366" s="57" t="str">
        <f>Questions!$S$2</f>
        <v>Reason for Question</v>
      </c>
      <c r="D366" s="57" t="str">
        <f>Questions!$T$2</f>
        <v>Follow-Up Inquiries/Responses</v>
      </c>
    </row>
    <row r="367" spans="1:5" ht="42.95" customHeight="1" x14ac:dyDescent="0.2">
      <c r="A367" s="58" t="s">
        <v>840</v>
      </c>
      <c r="B367" s="58" t="str">
        <f>VLOOKUP($A367,Questions!$A$3:$X$333,2,0)&amp;""</f>
        <v>Do you limit your solution's LLM privileges by default?*</v>
      </c>
      <c r="C367" s="58" t="str">
        <f>VLOOKUP($A367,Questions!$A$3:$X$333,19,0)&amp;""</f>
        <v>To be added in a later version</v>
      </c>
      <c r="D367" s="58" t="str">
        <f>VLOOKUP($A367,Questions!$A$3:$X$333,20,0)&amp;""</f>
        <v>To be added in a later version</v>
      </c>
    </row>
    <row r="368" spans="1:5" ht="42.95" customHeight="1" x14ac:dyDescent="0.2">
      <c r="A368" s="58" t="s">
        <v>841</v>
      </c>
      <c r="B368" s="58" t="str">
        <f>VLOOKUP($A368,Questions!$A$3:$X$333,2,0)&amp;""</f>
        <v>Is your LLM training data vetted, validated, and verified before training the solution's AI model?*</v>
      </c>
      <c r="C368" s="58" t="str">
        <f>VLOOKUP($A368,Questions!$A$3:$X$333,19,0)&amp;""</f>
        <v/>
      </c>
      <c r="D368" s="58" t="str">
        <f>VLOOKUP($A368,Questions!$A$3:$X$333,20,0)&amp;""</f>
        <v/>
      </c>
    </row>
    <row r="369" spans="1:5" ht="42.95" customHeight="1" x14ac:dyDescent="0.2">
      <c r="A369" s="58" t="s">
        <v>843</v>
      </c>
      <c r="B369" s="58" t="str">
        <f>VLOOKUP($A369,Questions!$A$3:$X$333,2,0)&amp;""</f>
        <v>Do any actions taken by your solution's LLM features or plugins require human intervention?*</v>
      </c>
      <c r="C369" s="58" t="str">
        <f>VLOOKUP($A369,Questions!$A$3:$X$333,19,0)&amp;""</f>
        <v/>
      </c>
      <c r="D369" s="58" t="str">
        <f>VLOOKUP($A369,Questions!$A$3:$X$333,20,0)&amp;""</f>
        <v/>
      </c>
    </row>
    <row r="370" spans="1:5" ht="42.95" customHeight="1" x14ac:dyDescent="0.2">
      <c r="A370" s="58" t="s">
        <v>845</v>
      </c>
      <c r="B370" s="58" t="str">
        <f>VLOOKUP($A370,Questions!$A$3:$X$333,2,0)&amp;""</f>
        <v>Do you limit multiple LLM model plugins being called as part of a single input?*</v>
      </c>
      <c r="C370" s="58" t="str">
        <f>VLOOKUP($A370,Questions!$A$3:$X$333,19,0)&amp;""</f>
        <v/>
      </c>
      <c r="D370" s="58" t="str">
        <f>VLOOKUP($A370,Questions!$A$3:$X$333,20,0)&amp;""</f>
        <v/>
      </c>
    </row>
    <row r="371" spans="1:5" ht="42.95" customHeight="1" x14ac:dyDescent="0.2">
      <c r="A371" s="58" t="s">
        <v>847</v>
      </c>
      <c r="B371" s="58" t="str">
        <f>VLOOKUP($A371,Questions!$A$3:$X$333,2,0)&amp;""</f>
        <v>Do you limit your solution's LLM resource use per request, per step, and per action?</v>
      </c>
      <c r="C371" s="58" t="str">
        <f>VLOOKUP($A371,Questions!$A$3:$X$333,19,0)&amp;""</f>
        <v/>
      </c>
      <c r="D371" s="58" t="str">
        <f>VLOOKUP($A371,Questions!$A$3:$X$333,20,0)&amp;""</f>
        <v/>
      </c>
    </row>
    <row r="372" spans="1:5" ht="42.95" customHeight="1" x14ac:dyDescent="0.2">
      <c r="A372" s="58" t="s">
        <v>849</v>
      </c>
      <c r="B372" s="58" t="str">
        <f>VLOOKUP($A372,Questions!$A$3:$X$333,2,0)&amp;""</f>
        <v>Do you leverage LLM model tuning or other model validation mechanisms?</v>
      </c>
      <c r="C372" s="58" t="str">
        <f>VLOOKUP($A372,Questions!$A$3:$X$333,19,0)&amp;""</f>
        <v/>
      </c>
      <c r="D372" s="58" t="str">
        <f>VLOOKUP($A372,Questions!$A$3:$X$333,20,0)&amp;""</f>
        <v/>
      </c>
      <c r="E372" s="242" t="s">
        <v>1510</v>
      </c>
    </row>
    <row r="373" spans="1:5" x14ac:dyDescent="0.2">
      <c r="A373" s="243" t="s">
        <v>1506</v>
      </c>
    </row>
    <row r="374" spans="1:5" x14ac:dyDescent="0.2"/>
    <row r="375" spans="1:5" x14ac:dyDescent="0.2"/>
    <row r="376" spans="1:5" x14ac:dyDescent="0.2"/>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L16" activePane="bottomRight" state="frozen"/>
      <selection pane="topRight" activeCell="C1" sqref="C1"/>
      <selection pane="bottomLeft" activeCell="A2" sqref="A2"/>
      <selection pane="bottomRight" activeCell="B17" sqref="B17"/>
    </sheetView>
  </sheetViews>
  <sheetFormatPr defaultColWidth="8.796875" defaultRowHeight="15.75" customHeight="1" x14ac:dyDescent="0.2"/>
  <cols>
    <col min="1" max="1" width="8.796875" style="340" customWidth="1"/>
    <col min="2" max="2" width="35.69921875" style="340" customWidth="1"/>
    <col min="3" max="3" width="6.19921875" style="340" customWidth="1"/>
    <col min="4" max="4" width="5.8984375" style="340" customWidth="1"/>
    <col min="5" max="5" width="6.69921875" style="340" customWidth="1"/>
    <col min="6" max="6" width="7.19921875" style="340" customWidth="1"/>
    <col min="7" max="7" width="7.296875" style="340" customWidth="1"/>
    <col min="8" max="9" width="7.5" style="340" customWidth="1"/>
    <col min="10" max="10" width="6.8984375" style="340" customWidth="1"/>
    <col min="11" max="11" width="15.3984375" style="340" customWidth="1"/>
    <col min="12" max="12" width="12.69921875" style="340" customWidth="1"/>
    <col min="13" max="13" width="8.796875" style="340" customWidth="1"/>
    <col min="14" max="20" width="18.19921875" style="340" customWidth="1"/>
    <col min="21" max="22" width="8.796875" style="340" customWidth="1"/>
    <col min="23" max="23" width="10.8984375" style="340" customWidth="1"/>
    <col min="24" max="24" width="11.19921875" style="340" customWidth="1"/>
    <col min="25" max="16384" width="8.796875" style="340"/>
  </cols>
  <sheetData>
    <row r="1" spans="1:24" ht="15.75" hidden="1" customHeight="1" x14ac:dyDescent="0.2">
      <c r="A1" s="339" t="s">
        <v>1514</v>
      </c>
    </row>
    <row r="2" spans="1:24" ht="30" x14ac:dyDescent="0.2">
      <c r="A2" s="341" t="s">
        <v>0</v>
      </c>
      <c r="B2" s="341" t="s">
        <v>1</v>
      </c>
      <c r="C2" s="342" t="s">
        <v>2</v>
      </c>
      <c r="D2" s="342" t="s">
        <v>3</v>
      </c>
      <c r="E2" s="342" t="s">
        <v>4</v>
      </c>
      <c r="F2" s="342" t="s">
        <v>5</v>
      </c>
      <c r="G2" s="342" t="s">
        <v>6</v>
      </c>
      <c r="H2" s="342" t="s">
        <v>7</v>
      </c>
      <c r="I2" s="342" t="s">
        <v>8</v>
      </c>
      <c r="J2" s="342" t="s">
        <v>9</v>
      </c>
      <c r="K2" s="343" t="s">
        <v>10</v>
      </c>
      <c r="L2" s="342" t="s">
        <v>11</v>
      </c>
      <c r="M2" s="344" t="s">
        <v>12</v>
      </c>
      <c r="N2" s="342" t="s">
        <v>13</v>
      </c>
      <c r="O2" s="342" t="s">
        <v>14</v>
      </c>
      <c r="P2" s="342" t="s">
        <v>15</v>
      </c>
      <c r="Q2" s="342" t="s">
        <v>16</v>
      </c>
      <c r="R2" s="342" t="s">
        <v>1584</v>
      </c>
      <c r="S2" s="345" t="s">
        <v>17</v>
      </c>
      <c r="T2" s="345" t="s">
        <v>908</v>
      </c>
      <c r="U2" s="346" t="s">
        <v>904</v>
      </c>
      <c r="V2" s="346" t="s">
        <v>18</v>
      </c>
      <c r="W2" s="346" t="s">
        <v>19</v>
      </c>
      <c r="X2" s="346" t="s">
        <v>20</v>
      </c>
    </row>
    <row r="3" spans="1:24" ht="14.25" x14ac:dyDescent="0.2">
      <c r="A3" s="347" t="s">
        <v>21</v>
      </c>
      <c r="B3" s="347" t="s">
        <v>1434</v>
      </c>
      <c r="C3" s="347">
        <v>1</v>
      </c>
      <c r="D3" s="347">
        <v>1</v>
      </c>
      <c r="E3" s="347">
        <v>1</v>
      </c>
      <c r="F3" s="347">
        <v>1</v>
      </c>
      <c r="G3" s="347">
        <v>1</v>
      </c>
      <c r="H3" s="347">
        <v>1</v>
      </c>
      <c r="I3" s="347">
        <v>1</v>
      </c>
      <c r="J3" s="347">
        <v>1</v>
      </c>
      <c r="K3" s="347" t="s">
        <v>22</v>
      </c>
      <c r="L3" s="347" t="s">
        <v>23</v>
      </c>
      <c r="M3" s="347">
        <v>0</v>
      </c>
      <c r="N3" s="347" t="s">
        <v>1011</v>
      </c>
      <c r="O3" s="347" t="s">
        <v>1011</v>
      </c>
      <c r="P3" s="347" t="s">
        <v>1011</v>
      </c>
      <c r="Q3" s="347" t="s">
        <v>1011</v>
      </c>
      <c r="R3" s="347"/>
      <c r="S3" s="347" t="s">
        <v>1011</v>
      </c>
      <c r="T3" s="347" t="s">
        <v>1011</v>
      </c>
      <c r="U3" s="347" t="s">
        <v>1040</v>
      </c>
      <c r="V3" s="347" t="s">
        <v>1011</v>
      </c>
      <c r="W3" s="347" t="s">
        <v>1011</v>
      </c>
      <c r="X3" s="347"/>
    </row>
    <row r="4" spans="1:24" ht="14.25" x14ac:dyDescent="0.2">
      <c r="A4" s="347" t="s">
        <v>24</v>
      </c>
      <c r="B4" s="347" t="s">
        <v>1254</v>
      </c>
      <c r="C4" s="347">
        <v>1</v>
      </c>
      <c r="D4" s="347">
        <v>1</v>
      </c>
      <c r="E4" s="347">
        <v>1</v>
      </c>
      <c r="F4" s="347">
        <v>1</v>
      </c>
      <c r="G4" s="347">
        <v>1</v>
      </c>
      <c r="H4" s="347">
        <v>1</v>
      </c>
      <c r="I4" s="347">
        <v>1</v>
      </c>
      <c r="J4" s="347">
        <v>1</v>
      </c>
      <c r="K4" s="347" t="s">
        <v>22</v>
      </c>
      <c r="L4" s="347" t="s">
        <v>23</v>
      </c>
      <c r="M4" s="347" t="s">
        <v>1019</v>
      </c>
      <c r="N4" s="347" t="s">
        <v>1011</v>
      </c>
      <c r="O4" s="347" t="s">
        <v>1011</v>
      </c>
      <c r="P4" s="347" t="s">
        <v>1011</v>
      </c>
      <c r="Q4" s="347" t="s">
        <v>1011</v>
      </c>
      <c r="R4" s="347"/>
      <c r="S4" s="347" t="s">
        <v>1011</v>
      </c>
      <c r="T4" s="347" t="s">
        <v>1011</v>
      </c>
      <c r="U4" s="347" t="s">
        <v>1040</v>
      </c>
      <c r="V4" s="347" t="s">
        <v>1011</v>
      </c>
      <c r="W4" s="347" t="s">
        <v>1011</v>
      </c>
      <c r="X4" s="347"/>
    </row>
    <row r="5" spans="1:24" ht="14.25" x14ac:dyDescent="0.2">
      <c r="A5" s="347" t="s">
        <v>25</v>
      </c>
      <c r="B5" s="347" t="s">
        <v>1255</v>
      </c>
      <c r="C5" s="347">
        <v>1</v>
      </c>
      <c r="D5" s="347">
        <v>1</v>
      </c>
      <c r="E5" s="347">
        <v>1</v>
      </c>
      <c r="F5" s="347">
        <v>1</v>
      </c>
      <c r="G5" s="347">
        <v>1</v>
      </c>
      <c r="H5" s="347">
        <v>1</v>
      </c>
      <c r="I5" s="347">
        <v>1</v>
      </c>
      <c r="J5" s="347">
        <v>1</v>
      </c>
      <c r="K5" s="347" t="s">
        <v>22</v>
      </c>
      <c r="L5" s="347" t="s">
        <v>23</v>
      </c>
      <c r="M5" s="347" t="s">
        <v>1019</v>
      </c>
      <c r="N5" s="347" t="s">
        <v>1011</v>
      </c>
      <c r="O5" s="347" t="s">
        <v>1011</v>
      </c>
      <c r="P5" s="347" t="s">
        <v>1011</v>
      </c>
      <c r="Q5" s="347" t="s">
        <v>1011</v>
      </c>
      <c r="R5" s="347"/>
      <c r="S5" s="347" t="s">
        <v>1011</v>
      </c>
      <c r="T5" s="347" t="s">
        <v>1011</v>
      </c>
      <c r="U5" s="347" t="s">
        <v>1040</v>
      </c>
      <c r="V5" s="347" t="s">
        <v>1011</v>
      </c>
      <c r="W5" s="347" t="s">
        <v>1011</v>
      </c>
      <c r="X5" s="347"/>
    </row>
    <row r="6" spans="1:24" ht="14.25" x14ac:dyDescent="0.2">
      <c r="A6" s="347" t="s">
        <v>26</v>
      </c>
      <c r="B6" s="347" t="s">
        <v>1435</v>
      </c>
      <c r="C6" s="347">
        <v>1</v>
      </c>
      <c r="D6" s="347">
        <v>1</v>
      </c>
      <c r="E6" s="347">
        <v>0</v>
      </c>
      <c r="F6" s="347">
        <v>0</v>
      </c>
      <c r="G6" s="347">
        <v>0</v>
      </c>
      <c r="H6" s="347">
        <v>0</v>
      </c>
      <c r="I6" s="347">
        <v>0</v>
      </c>
      <c r="J6" s="347">
        <v>0</v>
      </c>
      <c r="K6" s="347" t="s">
        <v>22</v>
      </c>
      <c r="L6" s="347" t="s">
        <v>23</v>
      </c>
      <c r="M6" s="347" t="s">
        <v>1019</v>
      </c>
      <c r="N6" s="347" t="s">
        <v>1011</v>
      </c>
      <c r="O6" s="347" t="s">
        <v>1011</v>
      </c>
      <c r="P6" s="347" t="s">
        <v>1011</v>
      </c>
      <c r="Q6" s="347" t="s">
        <v>1011</v>
      </c>
      <c r="R6" s="347"/>
      <c r="S6" s="347" t="s">
        <v>1011</v>
      </c>
      <c r="T6" s="347" t="s">
        <v>1011</v>
      </c>
      <c r="U6" s="347" t="s">
        <v>1040</v>
      </c>
      <c r="V6" s="347" t="s">
        <v>1011</v>
      </c>
      <c r="W6" s="347" t="s">
        <v>1011</v>
      </c>
      <c r="X6" s="347"/>
    </row>
    <row r="7" spans="1:24" ht="14.25" x14ac:dyDescent="0.2">
      <c r="A7" s="347" t="s">
        <v>27</v>
      </c>
      <c r="B7" s="347" t="s">
        <v>1436</v>
      </c>
      <c r="C7" s="347">
        <v>1</v>
      </c>
      <c r="D7" s="347">
        <v>1</v>
      </c>
      <c r="E7" s="347">
        <v>0</v>
      </c>
      <c r="F7" s="347">
        <v>0</v>
      </c>
      <c r="G7" s="347">
        <v>0</v>
      </c>
      <c r="H7" s="347">
        <v>0</v>
      </c>
      <c r="I7" s="347">
        <v>0</v>
      </c>
      <c r="J7" s="347">
        <v>0</v>
      </c>
      <c r="K7" s="347" t="s">
        <v>22</v>
      </c>
      <c r="L7" s="347" t="s">
        <v>23</v>
      </c>
      <c r="M7" s="347" t="s">
        <v>1019</v>
      </c>
      <c r="N7" s="347" t="s">
        <v>1011</v>
      </c>
      <c r="O7" s="347" t="s">
        <v>1011</v>
      </c>
      <c r="P7" s="347" t="s">
        <v>1011</v>
      </c>
      <c r="Q7" s="347" t="s">
        <v>1011</v>
      </c>
      <c r="R7" s="347"/>
      <c r="S7" s="347" t="s">
        <v>1011</v>
      </c>
      <c r="T7" s="347" t="s">
        <v>1011</v>
      </c>
      <c r="U7" s="347" t="s">
        <v>1040</v>
      </c>
      <c r="V7" s="347" t="s">
        <v>1011</v>
      </c>
      <c r="W7" s="347" t="s">
        <v>1011</v>
      </c>
      <c r="X7" s="347"/>
    </row>
    <row r="8" spans="1:24" ht="14.25" x14ac:dyDescent="0.2">
      <c r="A8" s="347" t="s">
        <v>28</v>
      </c>
      <c r="B8" s="347" t="s">
        <v>1437</v>
      </c>
      <c r="C8" s="347">
        <v>1</v>
      </c>
      <c r="D8" s="347">
        <v>1</v>
      </c>
      <c r="E8" s="347">
        <v>0</v>
      </c>
      <c r="F8" s="347">
        <v>0</v>
      </c>
      <c r="G8" s="347">
        <v>0</v>
      </c>
      <c r="H8" s="347">
        <v>0</v>
      </c>
      <c r="I8" s="347">
        <v>0</v>
      </c>
      <c r="J8" s="347">
        <v>0</v>
      </c>
      <c r="K8" s="347" t="s">
        <v>22</v>
      </c>
      <c r="L8" s="347" t="s">
        <v>23</v>
      </c>
      <c r="M8" s="347" t="s">
        <v>1019</v>
      </c>
      <c r="N8" s="347" t="s">
        <v>1011</v>
      </c>
      <c r="O8" s="347" t="s">
        <v>1011</v>
      </c>
      <c r="P8" s="347" t="s">
        <v>1011</v>
      </c>
      <c r="Q8" s="347" t="s">
        <v>1011</v>
      </c>
      <c r="R8" s="347"/>
      <c r="S8" s="347" t="s">
        <v>1011</v>
      </c>
      <c r="T8" s="347" t="s">
        <v>1011</v>
      </c>
      <c r="U8" s="347" t="s">
        <v>1040</v>
      </c>
      <c r="V8" s="347" t="s">
        <v>1011</v>
      </c>
      <c r="W8" s="347" t="s">
        <v>1011</v>
      </c>
      <c r="X8" s="347"/>
    </row>
    <row r="9" spans="1:24" ht="14.25" x14ac:dyDescent="0.2">
      <c r="A9" s="347" t="s">
        <v>29</v>
      </c>
      <c r="B9" s="347" t="s">
        <v>1438</v>
      </c>
      <c r="C9" s="347">
        <v>1</v>
      </c>
      <c r="D9" s="347">
        <v>1</v>
      </c>
      <c r="E9" s="347">
        <v>0</v>
      </c>
      <c r="F9" s="347">
        <v>0</v>
      </c>
      <c r="G9" s="347">
        <v>0</v>
      </c>
      <c r="H9" s="347">
        <v>0</v>
      </c>
      <c r="I9" s="347">
        <v>0</v>
      </c>
      <c r="J9" s="347">
        <v>0</v>
      </c>
      <c r="K9" s="347" t="s">
        <v>22</v>
      </c>
      <c r="L9" s="347" t="s">
        <v>23</v>
      </c>
      <c r="M9" s="347" t="s">
        <v>1019</v>
      </c>
      <c r="N9" s="347" t="s">
        <v>1011</v>
      </c>
      <c r="O9" s="347" t="s">
        <v>1011</v>
      </c>
      <c r="P9" s="347" t="s">
        <v>1011</v>
      </c>
      <c r="Q9" s="347" t="s">
        <v>1011</v>
      </c>
      <c r="R9" s="347"/>
      <c r="S9" s="347" t="s">
        <v>1011</v>
      </c>
      <c r="T9" s="347" t="s">
        <v>1011</v>
      </c>
      <c r="U9" s="347" t="s">
        <v>1040</v>
      </c>
      <c r="V9" s="347" t="s">
        <v>1011</v>
      </c>
      <c r="W9" s="347" t="s">
        <v>1011</v>
      </c>
      <c r="X9" s="347"/>
    </row>
    <row r="10" spans="1:24" ht="14.25" x14ac:dyDescent="0.2">
      <c r="A10" s="347" t="s">
        <v>30</v>
      </c>
      <c r="B10" s="347" t="s">
        <v>31</v>
      </c>
      <c r="C10" s="347">
        <v>1</v>
      </c>
      <c r="D10" s="347">
        <v>1</v>
      </c>
      <c r="E10" s="347">
        <v>1</v>
      </c>
      <c r="F10" s="347">
        <v>1</v>
      </c>
      <c r="G10" s="347">
        <v>1</v>
      </c>
      <c r="H10" s="347">
        <v>1</v>
      </c>
      <c r="I10" s="347">
        <v>1</v>
      </c>
      <c r="J10" s="347">
        <v>1</v>
      </c>
      <c r="K10" s="347" t="s">
        <v>22</v>
      </c>
      <c r="L10" s="347" t="s">
        <v>23</v>
      </c>
      <c r="M10" s="347" t="s">
        <v>1011</v>
      </c>
      <c r="N10" s="347" t="s">
        <v>1011</v>
      </c>
      <c r="O10" s="347" t="s">
        <v>1011</v>
      </c>
      <c r="P10" s="347" t="s">
        <v>1011</v>
      </c>
      <c r="Q10" s="347" t="s">
        <v>1011</v>
      </c>
      <c r="R10" s="347"/>
      <c r="S10" s="347" t="s">
        <v>1011</v>
      </c>
      <c r="T10" s="347" t="s">
        <v>1011</v>
      </c>
      <c r="U10" s="347" t="s">
        <v>1040</v>
      </c>
      <c r="V10" s="347" t="s">
        <v>1011</v>
      </c>
      <c r="W10" s="347" t="s">
        <v>1011</v>
      </c>
      <c r="X10" s="347"/>
    </row>
    <row r="11" spans="1:24" ht="57" x14ac:dyDescent="0.2">
      <c r="A11" s="347" t="s">
        <v>32</v>
      </c>
      <c r="B11" s="347" t="s">
        <v>33</v>
      </c>
      <c r="C11" s="347">
        <v>1</v>
      </c>
      <c r="D11" s="347">
        <v>0</v>
      </c>
      <c r="E11" s="347">
        <v>0</v>
      </c>
      <c r="F11" s="347">
        <v>0</v>
      </c>
      <c r="G11" s="347">
        <v>0</v>
      </c>
      <c r="H11" s="347">
        <v>0</v>
      </c>
      <c r="I11" s="347">
        <v>0</v>
      </c>
      <c r="J11" s="347">
        <v>1</v>
      </c>
      <c r="K11" s="347" t="s">
        <v>22</v>
      </c>
      <c r="L11" s="347" t="s">
        <v>23</v>
      </c>
      <c r="M11" s="347" t="s">
        <v>1019</v>
      </c>
      <c r="N11" s="347" t="s">
        <v>1011</v>
      </c>
      <c r="O11" s="347" t="s">
        <v>1011</v>
      </c>
      <c r="P11" s="347" t="s">
        <v>1011</v>
      </c>
      <c r="Q11" s="347" t="s">
        <v>1011</v>
      </c>
      <c r="R11" s="347"/>
      <c r="S11" s="347" t="s">
        <v>1267</v>
      </c>
      <c r="T11" s="347" t="s">
        <v>34</v>
      </c>
      <c r="U11" s="347" t="s">
        <v>1040</v>
      </c>
      <c r="V11" s="347" t="s">
        <v>1011</v>
      </c>
      <c r="W11" s="347" t="s">
        <v>1011</v>
      </c>
      <c r="X11" s="347"/>
    </row>
    <row r="12" spans="1:24" ht="242.25" x14ac:dyDescent="0.2">
      <c r="A12" s="347" t="s">
        <v>35</v>
      </c>
      <c r="B12" s="347" t="s">
        <v>1091</v>
      </c>
      <c r="C12" s="347">
        <v>1</v>
      </c>
      <c r="D12" s="347">
        <v>0</v>
      </c>
      <c r="E12" s="347">
        <v>0</v>
      </c>
      <c r="F12" s="347">
        <v>0</v>
      </c>
      <c r="G12" s="347">
        <v>0</v>
      </c>
      <c r="H12" s="347">
        <v>0</v>
      </c>
      <c r="I12" s="347">
        <v>0</v>
      </c>
      <c r="J12" s="347">
        <v>1</v>
      </c>
      <c r="K12" s="347"/>
      <c r="L12" s="347" t="s">
        <v>38</v>
      </c>
      <c r="M12" s="347" t="s">
        <v>1019</v>
      </c>
      <c r="N12" s="347" t="s">
        <v>1011</v>
      </c>
      <c r="O12" s="347" t="s">
        <v>1011</v>
      </c>
      <c r="P12" s="347" t="s">
        <v>1092</v>
      </c>
      <c r="Q12" s="347" t="s">
        <v>1093</v>
      </c>
      <c r="R12" s="347"/>
      <c r="S12" s="347" t="s">
        <v>1268</v>
      </c>
      <c r="T12" s="347" t="s">
        <v>1269</v>
      </c>
      <c r="U12" s="347" t="s">
        <v>40</v>
      </c>
      <c r="V12" s="347" t="s">
        <v>1019</v>
      </c>
      <c r="W12" s="347" t="s">
        <v>46</v>
      </c>
      <c r="X12" s="347">
        <f t="shared" ref="X12:X65" si="0">IF($W12="Critical Importance",20,IF($W12="Minor Importance",5,10))</f>
        <v>20</v>
      </c>
    </row>
    <row r="13" spans="1:24" ht="114" x14ac:dyDescent="0.2">
      <c r="A13" s="347" t="s">
        <v>42</v>
      </c>
      <c r="B13" s="347" t="s">
        <v>36</v>
      </c>
      <c r="C13" s="347">
        <v>1</v>
      </c>
      <c r="D13" s="347">
        <v>0</v>
      </c>
      <c r="E13" s="347">
        <v>0</v>
      </c>
      <c r="F13" s="347">
        <v>0</v>
      </c>
      <c r="G13" s="347">
        <v>0</v>
      </c>
      <c r="H13" s="347">
        <v>0</v>
      </c>
      <c r="I13" s="347">
        <v>0</v>
      </c>
      <c r="J13" s="347">
        <v>1</v>
      </c>
      <c r="K13" s="347"/>
      <c r="L13" s="347" t="s">
        <v>1040</v>
      </c>
      <c r="M13" s="347" t="s">
        <v>1019</v>
      </c>
      <c r="N13" s="347" t="s">
        <v>1011</v>
      </c>
      <c r="O13" s="347" t="s">
        <v>39</v>
      </c>
      <c r="P13" s="347" t="s">
        <v>39</v>
      </c>
      <c r="Q13" s="347" t="s">
        <v>39</v>
      </c>
      <c r="R13" s="347"/>
      <c r="S13" s="347" t="s">
        <v>1464</v>
      </c>
      <c r="T13" s="347" t="s">
        <v>1270</v>
      </c>
      <c r="U13" s="347" t="s">
        <v>1040</v>
      </c>
      <c r="V13" s="347" t="s">
        <v>1019</v>
      </c>
      <c r="W13" s="347"/>
      <c r="X13" s="347"/>
    </row>
    <row r="14" spans="1:24" ht="171" x14ac:dyDescent="0.2">
      <c r="A14" s="347" t="s">
        <v>44</v>
      </c>
      <c r="B14" s="347" t="s">
        <v>1201</v>
      </c>
      <c r="C14" s="347">
        <v>1</v>
      </c>
      <c r="D14" s="347">
        <v>0</v>
      </c>
      <c r="E14" s="347">
        <v>0</v>
      </c>
      <c r="F14" s="347">
        <v>0</v>
      </c>
      <c r="G14" s="347">
        <v>0</v>
      </c>
      <c r="H14" s="347">
        <v>0</v>
      </c>
      <c r="I14" s="347">
        <v>0</v>
      </c>
      <c r="J14" s="347">
        <v>1</v>
      </c>
      <c r="K14" s="347"/>
      <c r="L14" s="347" t="s">
        <v>38</v>
      </c>
      <c r="M14" s="347" t="s">
        <v>1019</v>
      </c>
      <c r="N14" s="347" t="s">
        <v>1011</v>
      </c>
      <c r="O14" s="347" t="s">
        <v>1011</v>
      </c>
      <c r="P14" s="347" t="s">
        <v>43</v>
      </c>
      <c r="Q14" s="347" t="s">
        <v>1011</v>
      </c>
      <c r="R14" s="347"/>
      <c r="S14" s="347" t="s">
        <v>1271</v>
      </c>
      <c r="T14" s="347" t="s">
        <v>1272</v>
      </c>
      <c r="U14" s="347" t="s">
        <v>40</v>
      </c>
      <c r="V14" s="347" t="s">
        <v>1019</v>
      </c>
      <c r="W14" s="347" t="s">
        <v>41</v>
      </c>
      <c r="X14" s="347">
        <f t="shared" si="0"/>
        <v>5</v>
      </c>
    </row>
    <row r="15" spans="1:24" ht="228" x14ac:dyDescent="0.2">
      <c r="A15" s="347" t="s">
        <v>45</v>
      </c>
      <c r="B15" s="347" t="s">
        <v>1094</v>
      </c>
      <c r="C15" s="347">
        <v>1</v>
      </c>
      <c r="D15" s="347">
        <v>0</v>
      </c>
      <c r="E15" s="347">
        <v>0</v>
      </c>
      <c r="F15" s="347">
        <v>0</v>
      </c>
      <c r="G15" s="347">
        <v>0</v>
      </c>
      <c r="H15" s="347">
        <v>0</v>
      </c>
      <c r="I15" s="347">
        <v>0</v>
      </c>
      <c r="J15" s="347">
        <v>1</v>
      </c>
      <c r="K15" s="347"/>
      <c r="L15" s="347" t="s">
        <v>38</v>
      </c>
      <c r="M15" s="347" t="s">
        <v>1019</v>
      </c>
      <c r="N15" s="347" t="s">
        <v>1011</v>
      </c>
      <c r="O15" s="347" t="s">
        <v>1011</v>
      </c>
      <c r="P15" s="347" t="s">
        <v>1095</v>
      </c>
      <c r="Q15" s="347" t="s">
        <v>1096</v>
      </c>
      <c r="R15" s="347"/>
      <c r="S15" s="347" t="s">
        <v>1463</v>
      </c>
      <c r="T15" s="347" t="s">
        <v>1439</v>
      </c>
      <c r="U15" s="347" t="s">
        <v>40</v>
      </c>
      <c r="V15" s="347" t="s">
        <v>1019</v>
      </c>
      <c r="W15" s="347" t="s">
        <v>41</v>
      </c>
      <c r="X15" s="347">
        <f t="shared" si="0"/>
        <v>5</v>
      </c>
    </row>
    <row r="16" spans="1:24" ht="199.5" x14ac:dyDescent="0.2">
      <c r="A16" s="347" t="s">
        <v>47</v>
      </c>
      <c r="B16" s="347" t="s">
        <v>1097</v>
      </c>
      <c r="C16" s="347">
        <v>1</v>
      </c>
      <c r="D16" s="347">
        <v>0</v>
      </c>
      <c r="E16" s="347">
        <v>0</v>
      </c>
      <c r="F16" s="347">
        <v>0</v>
      </c>
      <c r="G16" s="347">
        <v>0</v>
      </c>
      <c r="H16" s="347">
        <v>0</v>
      </c>
      <c r="I16" s="347">
        <v>0</v>
      </c>
      <c r="J16" s="347">
        <v>0</v>
      </c>
      <c r="K16" s="347"/>
      <c r="L16" s="347" t="s">
        <v>23</v>
      </c>
      <c r="M16" s="347">
        <v>0</v>
      </c>
      <c r="N16" s="347"/>
      <c r="O16" s="347" t="s">
        <v>1202</v>
      </c>
      <c r="P16" s="347" t="s">
        <v>1202</v>
      </c>
      <c r="Q16" s="347" t="s">
        <v>1202</v>
      </c>
      <c r="R16" s="347"/>
      <c r="S16" s="347" t="s">
        <v>1273</v>
      </c>
      <c r="T16" s="347" t="s">
        <v>1274</v>
      </c>
      <c r="U16" s="347" t="s">
        <v>1040</v>
      </c>
      <c r="V16" s="347">
        <v>0</v>
      </c>
      <c r="W16" s="347"/>
      <c r="X16" s="347"/>
    </row>
    <row r="17" spans="1:24" ht="57" x14ac:dyDescent="0.2">
      <c r="A17" s="347" t="s">
        <v>48</v>
      </c>
      <c r="B17" s="348" t="s">
        <v>1771</v>
      </c>
      <c r="C17" s="347">
        <v>1</v>
      </c>
      <c r="D17" s="347">
        <v>0</v>
      </c>
      <c r="E17" s="347">
        <v>1</v>
      </c>
      <c r="F17" s="347">
        <v>1</v>
      </c>
      <c r="G17" s="347">
        <v>0</v>
      </c>
      <c r="H17" s="347">
        <v>0</v>
      </c>
      <c r="I17" s="347">
        <v>0</v>
      </c>
      <c r="J17" s="347">
        <v>0</v>
      </c>
      <c r="K17" s="347" t="s">
        <v>22</v>
      </c>
      <c r="L17" s="347" t="s">
        <v>23</v>
      </c>
      <c r="M17" s="347" t="s">
        <v>1011</v>
      </c>
      <c r="N17" s="347" t="s">
        <v>1011</v>
      </c>
      <c r="O17" s="347" t="s">
        <v>1772</v>
      </c>
      <c r="P17" s="347" t="s">
        <v>49</v>
      </c>
      <c r="Q17" s="347" t="s">
        <v>50</v>
      </c>
      <c r="R17" s="347"/>
      <c r="S17" s="347" t="s">
        <v>1011</v>
      </c>
      <c r="T17" s="347" t="s">
        <v>1011</v>
      </c>
      <c r="U17" s="347" t="s">
        <v>1040</v>
      </c>
      <c r="V17" s="347" t="s">
        <v>1011</v>
      </c>
      <c r="W17" s="347"/>
      <c r="X17" s="347"/>
    </row>
    <row r="18" spans="1:24" ht="71.25" x14ac:dyDescent="0.2">
      <c r="A18" s="347" t="s">
        <v>51</v>
      </c>
      <c r="B18" s="347" t="s">
        <v>1465</v>
      </c>
      <c r="C18" s="347">
        <v>1</v>
      </c>
      <c r="D18" s="347">
        <v>0</v>
      </c>
      <c r="E18" s="347">
        <v>0</v>
      </c>
      <c r="F18" s="347">
        <v>0</v>
      </c>
      <c r="G18" s="347">
        <v>1</v>
      </c>
      <c r="H18" s="347">
        <v>0</v>
      </c>
      <c r="I18" s="347">
        <v>0</v>
      </c>
      <c r="J18" s="347">
        <v>0</v>
      </c>
      <c r="K18" s="347" t="s">
        <v>22</v>
      </c>
      <c r="L18" s="347" t="s">
        <v>23</v>
      </c>
      <c r="M18" s="347" t="s">
        <v>1011</v>
      </c>
      <c r="N18" s="347" t="s">
        <v>1011</v>
      </c>
      <c r="O18" s="347" t="s">
        <v>1454</v>
      </c>
      <c r="P18" s="347" t="s">
        <v>52</v>
      </c>
      <c r="Q18" s="347" t="s">
        <v>53</v>
      </c>
      <c r="R18" s="347"/>
      <c r="S18" s="347" t="s">
        <v>1011</v>
      </c>
      <c r="T18" s="347" t="s">
        <v>1011</v>
      </c>
      <c r="U18" s="347" t="s">
        <v>1040</v>
      </c>
      <c r="V18" s="347" t="s">
        <v>1011</v>
      </c>
      <c r="W18" s="347"/>
      <c r="X18" s="347"/>
    </row>
    <row r="19" spans="1:24" ht="42.75" x14ac:dyDescent="0.2">
      <c r="A19" s="347" t="s">
        <v>54</v>
      </c>
      <c r="B19" s="347" t="s">
        <v>55</v>
      </c>
      <c r="C19" s="347">
        <v>1</v>
      </c>
      <c r="D19" s="347">
        <v>0</v>
      </c>
      <c r="E19" s="347">
        <v>0</v>
      </c>
      <c r="F19" s="347">
        <v>0</v>
      </c>
      <c r="G19" s="347">
        <v>0</v>
      </c>
      <c r="H19" s="347">
        <v>1</v>
      </c>
      <c r="I19" s="347">
        <v>0</v>
      </c>
      <c r="J19" s="347">
        <v>0</v>
      </c>
      <c r="K19" s="347" t="s">
        <v>22</v>
      </c>
      <c r="L19" s="347" t="s">
        <v>23</v>
      </c>
      <c r="M19" s="347" t="s">
        <v>1011</v>
      </c>
      <c r="N19" s="347" t="s">
        <v>1011</v>
      </c>
      <c r="O19" s="347" t="s">
        <v>1011</v>
      </c>
      <c r="P19" s="347" t="s">
        <v>56</v>
      </c>
      <c r="Q19" s="347" t="s">
        <v>57</v>
      </c>
      <c r="R19" s="347"/>
      <c r="S19" s="347" t="s">
        <v>1011</v>
      </c>
      <c r="T19" s="347" t="s">
        <v>1011</v>
      </c>
      <c r="U19" s="347" t="s">
        <v>1040</v>
      </c>
      <c r="V19" s="347" t="s">
        <v>1011</v>
      </c>
      <c r="W19" s="347"/>
      <c r="X19" s="347"/>
    </row>
    <row r="20" spans="1:24" ht="42.75" x14ac:dyDescent="0.2">
      <c r="A20" s="347" t="s">
        <v>58</v>
      </c>
      <c r="B20" s="347" t="s">
        <v>1203</v>
      </c>
      <c r="C20" s="347">
        <v>1</v>
      </c>
      <c r="D20" s="347">
        <v>0</v>
      </c>
      <c r="E20" s="347">
        <v>0</v>
      </c>
      <c r="F20" s="347">
        <v>0</v>
      </c>
      <c r="G20" s="347">
        <v>0</v>
      </c>
      <c r="H20" s="347">
        <v>0</v>
      </c>
      <c r="I20" s="347">
        <v>1</v>
      </c>
      <c r="J20" s="347">
        <v>1</v>
      </c>
      <c r="K20" s="347" t="s">
        <v>22</v>
      </c>
      <c r="L20" s="347" t="s">
        <v>23</v>
      </c>
      <c r="M20" s="347" t="s">
        <v>1011</v>
      </c>
      <c r="N20" s="347" t="s">
        <v>1011</v>
      </c>
      <c r="O20" s="347" t="s">
        <v>1011</v>
      </c>
      <c r="P20" s="347" t="s">
        <v>59</v>
      </c>
      <c r="Q20" s="347" t="s">
        <v>60</v>
      </c>
      <c r="R20" s="347"/>
      <c r="S20" s="347" t="s">
        <v>1011</v>
      </c>
      <c r="T20" s="347" t="s">
        <v>1011</v>
      </c>
      <c r="U20" s="347" t="s">
        <v>1040</v>
      </c>
      <c r="V20" s="347" t="s">
        <v>1011</v>
      </c>
      <c r="W20" s="347"/>
      <c r="X20" s="347"/>
    </row>
    <row r="21" spans="1:24" ht="71.25" x14ac:dyDescent="0.2">
      <c r="A21" s="347" t="s">
        <v>61</v>
      </c>
      <c r="B21" s="347" t="s">
        <v>1204</v>
      </c>
      <c r="C21" s="347">
        <v>1</v>
      </c>
      <c r="D21" s="347">
        <v>0</v>
      </c>
      <c r="E21" s="347">
        <v>0</v>
      </c>
      <c r="F21" s="347">
        <v>0</v>
      </c>
      <c r="G21" s="347">
        <v>0</v>
      </c>
      <c r="H21" s="347">
        <v>1</v>
      </c>
      <c r="I21" s="347">
        <v>0</v>
      </c>
      <c r="J21" s="347">
        <v>1</v>
      </c>
      <c r="K21" s="347" t="s">
        <v>22</v>
      </c>
      <c r="L21" s="347" t="s">
        <v>23</v>
      </c>
      <c r="M21" s="347" t="s">
        <v>1019</v>
      </c>
      <c r="N21" s="347" t="s">
        <v>1011</v>
      </c>
      <c r="O21" s="347" t="s">
        <v>1205</v>
      </c>
      <c r="P21" s="347" t="s">
        <v>62</v>
      </c>
      <c r="Q21" s="347" t="s">
        <v>63</v>
      </c>
      <c r="R21" s="347"/>
      <c r="S21" s="347"/>
      <c r="T21" s="347"/>
      <c r="U21" s="347" t="s">
        <v>1040</v>
      </c>
      <c r="V21" s="347"/>
      <c r="W21" s="347"/>
      <c r="X21" s="347"/>
    </row>
    <row r="22" spans="1:24" ht="71.25" x14ac:dyDescent="0.2">
      <c r="A22" s="347" t="s">
        <v>64</v>
      </c>
      <c r="B22" s="347" t="s">
        <v>1466</v>
      </c>
      <c r="C22" s="347">
        <v>1</v>
      </c>
      <c r="D22" s="347">
        <v>0</v>
      </c>
      <c r="E22" s="347">
        <v>0</v>
      </c>
      <c r="F22" s="347">
        <v>0</v>
      </c>
      <c r="G22" s="347">
        <v>0</v>
      </c>
      <c r="H22" s="347">
        <v>1</v>
      </c>
      <c r="I22" s="347">
        <v>0</v>
      </c>
      <c r="J22" s="347">
        <v>1</v>
      </c>
      <c r="K22" s="347" t="s">
        <v>22</v>
      </c>
      <c r="L22" s="347" t="s">
        <v>23</v>
      </c>
      <c r="M22" s="347" t="s">
        <v>1019</v>
      </c>
      <c r="N22" s="347" t="s">
        <v>1011</v>
      </c>
      <c r="O22" s="347" t="s">
        <v>1206</v>
      </c>
      <c r="P22" s="347" t="s">
        <v>65</v>
      </c>
      <c r="Q22" s="347" t="s">
        <v>66</v>
      </c>
      <c r="R22" s="347"/>
      <c r="S22" s="347"/>
      <c r="T22" s="347"/>
      <c r="U22" s="347" t="s">
        <v>1040</v>
      </c>
      <c r="V22" s="347"/>
      <c r="W22" s="347"/>
      <c r="X22" s="347"/>
    </row>
    <row r="23" spans="1:24" ht="93.75" customHeight="1" x14ac:dyDescent="0.2">
      <c r="A23" s="347" t="s">
        <v>67</v>
      </c>
      <c r="B23" s="347" t="s">
        <v>1207</v>
      </c>
      <c r="C23" s="347">
        <v>1</v>
      </c>
      <c r="D23" s="347">
        <v>0</v>
      </c>
      <c r="E23" s="347">
        <v>0</v>
      </c>
      <c r="F23" s="347">
        <v>0</v>
      </c>
      <c r="G23" s="347">
        <v>0</v>
      </c>
      <c r="H23" s="347">
        <v>1</v>
      </c>
      <c r="I23" s="347">
        <v>0</v>
      </c>
      <c r="J23" s="347">
        <v>0</v>
      </c>
      <c r="K23" s="347" t="s">
        <v>22</v>
      </c>
      <c r="L23" s="347" t="s">
        <v>23</v>
      </c>
      <c r="M23" s="347" t="s">
        <v>1011</v>
      </c>
      <c r="N23" s="347" t="s">
        <v>1011</v>
      </c>
      <c r="O23" s="347" t="s">
        <v>1011</v>
      </c>
      <c r="P23" s="347" t="s">
        <v>68</v>
      </c>
      <c r="Q23" s="347" t="s">
        <v>69</v>
      </c>
      <c r="R23" s="347"/>
      <c r="S23" s="347" t="s">
        <v>1011</v>
      </c>
      <c r="T23" s="347" t="s">
        <v>1011</v>
      </c>
      <c r="U23" s="347" t="s">
        <v>1040</v>
      </c>
      <c r="V23" s="347" t="s">
        <v>1011</v>
      </c>
      <c r="W23" s="347"/>
      <c r="X23" s="347"/>
    </row>
    <row r="24" spans="1:24" ht="81.75" customHeight="1" x14ac:dyDescent="0.2">
      <c r="A24" s="347" t="s">
        <v>1004</v>
      </c>
      <c r="B24" s="347" t="s">
        <v>1522</v>
      </c>
      <c r="C24" s="347">
        <v>1</v>
      </c>
      <c r="D24" s="347">
        <v>0</v>
      </c>
      <c r="E24" s="347">
        <v>0</v>
      </c>
      <c r="F24" s="347">
        <v>0</v>
      </c>
      <c r="G24" s="347">
        <v>0</v>
      </c>
      <c r="H24" s="347">
        <v>0</v>
      </c>
      <c r="I24" s="347">
        <v>0</v>
      </c>
      <c r="J24" s="347">
        <v>1</v>
      </c>
      <c r="K24" s="347" t="s">
        <v>22</v>
      </c>
      <c r="L24" s="347" t="s">
        <v>23</v>
      </c>
      <c r="M24" s="347"/>
      <c r="N24" s="347"/>
      <c r="O24" s="347" t="s">
        <v>1005</v>
      </c>
      <c r="P24" s="226" t="s">
        <v>1006</v>
      </c>
      <c r="Q24" s="226" t="s">
        <v>1007</v>
      </c>
      <c r="R24" s="226"/>
      <c r="S24" s="347"/>
      <c r="T24" s="347"/>
      <c r="U24" s="347" t="s">
        <v>1040</v>
      </c>
      <c r="V24" s="347"/>
      <c r="W24" s="347"/>
      <c r="X24" s="347"/>
    </row>
    <row r="25" spans="1:24" ht="42.75" x14ac:dyDescent="0.2">
      <c r="A25" s="347" t="s">
        <v>70</v>
      </c>
      <c r="B25" s="347" t="s">
        <v>1467</v>
      </c>
      <c r="C25" s="347">
        <v>0</v>
      </c>
      <c r="D25" s="347">
        <v>1</v>
      </c>
      <c r="E25" s="347">
        <v>0</v>
      </c>
      <c r="F25" s="347">
        <v>0</v>
      </c>
      <c r="G25" s="347">
        <v>0</v>
      </c>
      <c r="H25" s="347">
        <v>0</v>
      </c>
      <c r="I25" s="347">
        <v>0</v>
      </c>
      <c r="J25" s="347">
        <v>1</v>
      </c>
      <c r="K25" s="347"/>
      <c r="L25" s="347" t="s">
        <v>131</v>
      </c>
      <c r="M25" s="347" t="s">
        <v>1011</v>
      </c>
      <c r="N25" s="347" t="s">
        <v>1011</v>
      </c>
      <c r="O25" s="347" t="s">
        <v>1011</v>
      </c>
      <c r="P25" s="347" t="s">
        <v>1011</v>
      </c>
      <c r="Q25" s="347" t="s">
        <v>1011</v>
      </c>
      <c r="R25" s="347"/>
      <c r="S25" s="347" t="s">
        <v>1011</v>
      </c>
      <c r="T25" s="347" t="s">
        <v>1011</v>
      </c>
      <c r="U25" s="347" t="s">
        <v>40</v>
      </c>
      <c r="V25" s="347" t="s">
        <v>1011</v>
      </c>
      <c r="W25" s="347" t="s">
        <v>46</v>
      </c>
      <c r="X25" s="347">
        <f t="shared" si="0"/>
        <v>20</v>
      </c>
    </row>
    <row r="26" spans="1:24" ht="42.75" x14ac:dyDescent="0.2">
      <c r="A26" s="347" t="s">
        <v>76</v>
      </c>
      <c r="B26" s="347" t="s">
        <v>1098</v>
      </c>
      <c r="C26" s="347">
        <v>0</v>
      </c>
      <c r="D26" s="347">
        <v>1</v>
      </c>
      <c r="E26" s="347">
        <v>0</v>
      </c>
      <c r="F26" s="347">
        <v>0</v>
      </c>
      <c r="G26" s="347">
        <v>0</v>
      </c>
      <c r="H26" s="347">
        <v>0</v>
      </c>
      <c r="I26" s="347">
        <v>0</v>
      </c>
      <c r="J26" s="347">
        <v>1</v>
      </c>
      <c r="K26" s="347"/>
      <c r="L26" s="347" t="s">
        <v>131</v>
      </c>
      <c r="M26" s="347" t="s">
        <v>1011</v>
      </c>
      <c r="N26" s="347" t="s">
        <v>1011</v>
      </c>
      <c r="O26" s="347" t="s">
        <v>1011</v>
      </c>
      <c r="P26" s="347" t="s">
        <v>1011</v>
      </c>
      <c r="Q26" s="347" t="s">
        <v>1011</v>
      </c>
      <c r="R26" s="347"/>
      <c r="S26" s="347" t="s">
        <v>1011</v>
      </c>
      <c r="T26" s="347" t="s">
        <v>1011</v>
      </c>
      <c r="U26" s="347" t="s">
        <v>40</v>
      </c>
      <c r="V26" s="347" t="s">
        <v>1011</v>
      </c>
      <c r="W26" s="347" t="s">
        <v>46</v>
      </c>
      <c r="X26" s="347">
        <f t="shared" si="0"/>
        <v>20</v>
      </c>
    </row>
    <row r="27" spans="1:24" ht="128.25" x14ac:dyDescent="0.2">
      <c r="A27" s="347" t="s">
        <v>77</v>
      </c>
      <c r="B27" s="347" t="s">
        <v>71</v>
      </c>
      <c r="C27" s="347">
        <v>0</v>
      </c>
      <c r="D27" s="347">
        <v>1</v>
      </c>
      <c r="E27" s="347">
        <v>0</v>
      </c>
      <c r="F27" s="347">
        <v>0</v>
      </c>
      <c r="G27" s="347">
        <v>0</v>
      </c>
      <c r="H27" s="347">
        <v>0</v>
      </c>
      <c r="I27" s="347">
        <v>0</v>
      </c>
      <c r="J27" s="347">
        <v>1</v>
      </c>
      <c r="K27" s="347"/>
      <c r="L27" s="347" t="s">
        <v>131</v>
      </c>
      <c r="M27" s="347" t="s">
        <v>72</v>
      </c>
      <c r="N27" s="347" t="s">
        <v>1011</v>
      </c>
      <c r="O27" s="347" t="s">
        <v>1011</v>
      </c>
      <c r="P27" s="347" t="s">
        <v>73</v>
      </c>
      <c r="Q27" s="347" t="s">
        <v>1099</v>
      </c>
      <c r="R27" s="347"/>
      <c r="S27" s="347" t="s">
        <v>1468</v>
      </c>
      <c r="T27" s="347" t="s">
        <v>74</v>
      </c>
      <c r="U27" s="347" t="s">
        <v>40</v>
      </c>
      <c r="V27" s="347" t="s">
        <v>1019</v>
      </c>
      <c r="W27" s="347" t="s">
        <v>75</v>
      </c>
      <c r="X27" s="347">
        <f t="shared" si="0"/>
        <v>10</v>
      </c>
    </row>
    <row r="28" spans="1:24" ht="242.25" x14ac:dyDescent="0.2">
      <c r="A28" s="347" t="s">
        <v>80</v>
      </c>
      <c r="B28" s="347" t="s">
        <v>1100</v>
      </c>
      <c r="C28" s="347">
        <v>0</v>
      </c>
      <c r="D28" s="347">
        <v>1</v>
      </c>
      <c r="E28" s="347">
        <v>0</v>
      </c>
      <c r="F28" s="347">
        <v>0</v>
      </c>
      <c r="G28" s="347">
        <v>0</v>
      </c>
      <c r="H28" s="347">
        <v>0</v>
      </c>
      <c r="I28" s="347">
        <v>0</v>
      </c>
      <c r="J28" s="347">
        <v>1</v>
      </c>
      <c r="K28" s="347"/>
      <c r="L28" s="347" t="s">
        <v>131</v>
      </c>
      <c r="M28" s="347" t="s">
        <v>72</v>
      </c>
      <c r="N28" s="347" t="s">
        <v>1011</v>
      </c>
      <c r="O28" s="347" t="s">
        <v>1011</v>
      </c>
      <c r="P28" s="347" t="s">
        <v>78</v>
      </c>
      <c r="Q28" s="347" t="s">
        <v>79</v>
      </c>
      <c r="R28" s="347"/>
      <c r="S28" s="347" t="s">
        <v>1275</v>
      </c>
      <c r="T28" s="347" t="s">
        <v>1276</v>
      </c>
      <c r="U28" s="347" t="s">
        <v>40</v>
      </c>
      <c r="V28" s="347" t="s">
        <v>1019</v>
      </c>
      <c r="W28" s="347" t="s">
        <v>75</v>
      </c>
      <c r="X28" s="347">
        <f t="shared" si="0"/>
        <v>10</v>
      </c>
    </row>
    <row r="29" spans="1:24" ht="185.25" x14ac:dyDescent="0.2">
      <c r="A29" s="347" t="s">
        <v>84</v>
      </c>
      <c r="B29" s="347" t="s">
        <v>81</v>
      </c>
      <c r="C29" s="347">
        <v>0</v>
      </c>
      <c r="D29" s="347">
        <v>1</v>
      </c>
      <c r="E29" s="347">
        <v>0</v>
      </c>
      <c r="F29" s="347">
        <v>0</v>
      </c>
      <c r="G29" s="347">
        <v>0</v>
      </c>
      <c r="H29" s="347">
        <v>0</v>
      </c>
      <c r="I29" s="347">
        <v>0</v>
      </c>
      <c r="J29" s="347">
        <v>1</v>
      </c>
      <c r="K29" s="347"/>
      <c r="L29" s="347" t="s">
        <v>131</v>
      </c>
      <c r="M29" s="347" t="s">
        <v>72</v>
      </c>
      <c r="N29" s="347" t="s">
        <v>1011</v>
      </c>
      <c r="O29" s="347" t="s">
        <v>1011</v>
      </c>
      <c r="P29" s="347" t="s">
        <v>82</v>
      </c>
      <c r="Q29" s="347" t="s">
        <v>83</v>
      </c>
      <c r="R29" s="347"/>
      <c r="S29" s="347" t="s">
        <v>1277</v>
      </c>
      <c r="T29" s="347" t="s">
        <v>1278</v>
      </c>
      <c r="U29" s="347" t="s">
        <v>40</v>
      </c>
      <c r="V29" s="347" t="s">
        <v>1019</v>
      </c>
      <c r="W29" s="347" t="s">
        <v>75</v>
      </c>
      <c r="X29" s="347">
        <f t="shared" si="0"/>
        <v>10</v>
      </c>
    </row>
    <row r="30" spans="1:24" ht="185.25" x14ac:dyDescent="0.2">
      <c r="A30" s="347" t="s">
        <v>88</v>
      </c>
      <c r="B30" s="347" t="s">
        <v>85</v>
      </c>
      <c r="C30" s="347">
        <v>0</v>
      </c>
      <c r="D30" s="347">
        <v>1</v>
      </c>
      <c r="E30" s="347">
        <v>0</v>
      </c>
      <c r="F30" s="347">
        <v>0</v>
      </c>
      <c r="G30" s="347">
        <v>0</v>
      </c>
      <c r="H30" s="347">
        <v>0</v>
      </c>
      <c r="I30" s="347">
        <v>0</v>
      </c>
      <c r="J30" s="347">
        <v>1</v>
      </c>
      <c r="K30" s="347"/>
      <c r="L30" s="347" t="s">
        <v>131</v>
      </c>
      <c r="M30" s="347" t="s">
        <v>72</v>
      </c>
      <c r="N30" s="347" t="s">
        <v>1011</v>
      </c>
      <c r="O30" s="347" t="s">
        <v>1011</v>
      </c>
      <c r="P30" s="347" t="s">
        <v>86</v>
      </c>
      <c r="Q30" s="347" t="s">
        <v>87</v>
      </c>
      <c r="R30" s="347"/>
      <c r="S30" s="347" t="s">
        <v>1279</v>
      </c>
      <c r="T30" s="347" t="s">
        <v>1278</v>
      </c>
      <c r="U30" s="347" t="s">
        <v>40</v>
      </c>
      <c r="V30" s="347" t="s">
        <v>1019</v>
      </c>
      <c r="W30" s="347" t="s">
        <v>75</v>
      </c>
      <c r="X30" s="347">
        <f t="shared" si="0"/>
        <v>10</v>
      </c>
    </row>
    <row r="31" spans="1:24" ht="228" x14ac:dyDescent="0.2">
      <c r="A31" s="347" t="s">
        <v>92</v>
      </c>
      <c r="B31" s="347" t="s">
        <v>89</v>
      </c>
      <c r="C31" s="347">
        <v>0</v>
      </c>
      <c r="D31" s="347">
        <v>1</v>
      </c>
      <c r="E31" s="347">
        <v>0</v>
      </c>
      <c r="F31" s="347">
        <v>0</v>
      </c>
      <c r="G31" s="347">
        <v>0</v>
      </c>
      <c r="H31" s="347">
        <v>0</v>
      </c>
      <c r="I31" s="347">
        <v>0</v>
      </c>
      <c r="J31" s="347">
        <v>1</v>
      </c>
      <c r="K31" s="347"/>
      <c r="L31" s="347" t="s">
        <v>131</v>
      </c>
      <c r="M31" s="347" t="s">
        <v>72</v>
      </c>
      <c r="N31" s="347" t="s">
        <v>1011</v>
      </c>
      <c r="O31" s="347" t="s">
        <v>1011</v>
      </c>
      <c r="P31" s="347" t="s">
        <v>90</v>
      </c>
      <c r="Q31" s="347" t="s">
        <v>91</v>
      </c>
      <c r="R31" s="347"/>
      <c r="S31" s="347" t="s">
        <v>1280</v>
      </c>
      <c r="T31" s="347" t="s">
        <v>1281</v>
      </c>
      <c r="U31" s="347" t="s">
        <v>40</v>
      </c>
      <c r="V31" s="347" t="s">
        <v>1019</v>
      </c>
      <c r="W31" s="347" t="s">
        <v>75</v>
      </c>
      <c r="X31" s="347">
        <f t="shared" si="0"/>
        <v>10</v>
      </c>
    </row>
    <row r="32" spans="1:24" ht="57" x14ac:dyDescent="0.2">
      <c r="A32" s="226" t="s">
        <v>93</v>
      </c>
      <c r="B32" s="347" t="s">
        <v>1440</v>
      </c>
      <c r="C32" s="347">
        <v>0</v>
      </c>
      <c r="D32" s="347">
        <v>0</v>
      </c>
      <c r="E32" s="347">
        <v>0</v>
      </c>
      <c r="F32" s="347">
        <v>0</v>
      </c>
      <c r="G32" s="347">
        <v>1</v>
      </c>
      <c r="H32" s="347">
        <v>0</v>
      </c>
      <c r="I32" s="347">
        <v>0</v>
      </c>
      <c r="J32" s="347">
        <v>0</v>
      </c>
      <c r="K32" s="347" t="s">
        <v>22</v>
      </c>
      <c r="L32" s="347" t="s">
        <v>23</v>
      </c>
      <c r="M32" s="347" t="s">
        <v>1019</v>
      </c>
      <c r="N32" s="347" t="s">
        <v>1282</v>
      </c>
      <c r="O32" s="347" t="s">
        <v>1011</v>
      </c>
      <c r="P32" s="347" t="s">
        <v>1011</v>
      </c>
      <c r="Q32" s="347" t="s">
        <v>1011</v>
      </c>
      <c r="R32" s="347"/>
      <c r="S32" s="347" t="s">
        <v>1011</v>
      </c>
      <c r="T32" s="347" t="s">
        <v>1011</v>
      </c>
      <c r="U32" s="347" t="s">
        <v>1040</v>
      </c>
      <c r="V32" s="347" t="s">
        <v>1011</v>
      </c>
      <c r="W32" s="347"/>
      <c r="X32" s="347"/>
    </row>
    <row r="33" spans="1:24" ht="57" x14ac:dyDescent="0.2">
      <c r="A33" s="226" t="s">
        <v>94</v>
      </c>
      <c r="B33" s="347" t="s">
        <v>1441</v>
      </c>
      <c r="C33" s="347">
        <v>0</v>
      </c>
      <c r="D33" s="347">
        <v>0</v>
      </c>
      <c r="E33" s="347">
        <v>0</v>
      </c>
      <c r="F33" s="347">
        <v>0</v>
      </c>
      <c r="G33" s="347">
        <v>1</v>
      </c>
      <c r="H33" s="347">
        <v>0</v>
      </c>
      <c r="I33" s="347">
        <v>0</v>
      </c>
      <c r="J33" s="347">
        <v>0</v>
      </c>
      <c r="K33" s="347" t="s">
        <v>22</v>
      </c>
      <c r="L33" s="347" t="s">
        <v>23</v>
      </c>
      <c r="M33" s="347" t="s">
        <v>1019</v>
      </c>
      <c r="N33" s="347" t="s">
        <v>1282</v>
      </c>
      <c r="O33" s="347" t="s">
        <v>1011</v>
      </c>
      <c r="P33" s="347" t="s">
        <v>1011</v>
      </c>
      <c r="Q33" s="347" t="s">
        <v>1011</v>
      </c>
      <c r="R33" s="347"/>
      <c r="S33" s="347" t="s">
        <v>1011</v>
      </c>
      <c r="T33" s="347" t="s">
        <v>1011</v>
      </c>
      <c r="U33" s="347" t="s">
        <v>1040</v>
      </c>
      <c r="V33" s="347" t="s">
        <v>1011</v>
      </c>
      <c r="W33" s="347"/>
      <c r="X33" s="347"/>
    </row>
    <row r="34" spans="1:24" ht="57" x14ac:dyDescent="0.2">
      <c r="A34" s="226" t="s">
        <v>95</v>
      </c>
      <c r="B34" s="347" t="s">
        <v>1442</v>
      </c>
      <c r="C34" s="347">
        <v>0</v>
      </c>
      <c r="D34" s="347">
        <v>0</v>
      </c>
      <c r="E34" s="347">
        <v>0</v>
      </c>
      <c r="F34" s="347">
        <v>0</v>
      </c>
      <c r="G34" s="347">
        <v>1</v>
      </c>
      <c r="H34" s="347">
        <v>0</v>
      </c>
      <c r="I34" s="347">
        <v>0</v>
      </c>
      <c r="J34" s="347">
        <v>0</v>
      </c>
      <c r="K34" s="347" t="s">
        <v>22</v>
      </c>
      <c r="L34" s="347" t="s">
        <v>23</v>
      </c>
      <c r="M34" s="347" t="s">
        <v>1019</v>
      </c>
      <c r="N34" s="347" t="s">
        <v>1282</v>
      </c>
      <c r="O34" s="347" t="s">
        <v>1011</v>
      </c>
      <c r="P34" s="347" t="s">
        <v>1011</v>
      </c>
      <c r="Q34" s="347" t="s">
        <v>1011</v>
      </c>
      <c r="R34" s="347"/>
      <c r="S34" s="347" t="s">
        <v>1011</v>
      </c>
      <c r="T34" s="347" t="s">
        <v>1011</v>
      </c>
      <c r="U34" s="347" t="s">
        <v>1040</v>
      </c>
      <c r="V34" s="347" t="s">
        <v>1011</v>
      </c>
      <c r="W34" s="347"/>
      <c r="X34" s="347"/>
    </row>
    <row r="35" spans="1:24" ht="57" x14ac:dyDescent="0.2">
      <c r="A35" s="226" t="s">
        <v>96</v>
      </c>
      <c r="B35" s="347" t="s">
        <v>1443</v>
      </c>
      <c r="C35" s="347">
        <v>0</v>
      </c>
      <c r="D35" s="347">
        <v>0</v>
      </c>
      <c r="E35" s="347">
        <v>0</v>
      </c>
      <c r="F35" s="347">
        <v>0</v>
      </c>
      <c r="G35" s="347">
        <v>1</v>
      </c>
      <c r="H35" s="347">
        <v>0</v>
      </c>
      <c r="I35" s="347">
        <v>0</v>
      </c>
      <c r="J35" s="347">
        <v>0</v>
      </c>
      <c r="K35" s="347" t="s">
        <v>22</v>
      </c>
      <c r="L35" s="347" t="s">
        <v>23</v>
      </c>
      <c r="M35" s="347" t="s">
        <v>1019</v>
      </c>
      <c r="N35" s="347" t="s">
        <v>1282</v>
      </c>
      <c r="O35" s="347" t="s">
        <v>1011</v>
      </c>
      <c r="P35" s="347" t="s">
        <v>1011</v>
      </c>
      <c r="Q35" s="347" t="s">
        <v>1011</v>
      </c>
      <c r="R35" s="347"/>
      <c r="S35" s="347" t="s">
        <v>1011</v>
      </c>
      <c r="T35" s="347" t="s">
        <v>1011</v>
      </c>
      <c r="U35" s="347" t="s">
        <v>1040</v>
      </c>
      <c r="V35" s="347" t="s">
        <v>1011</v>
      </c>
      <c r="W35" s="347"/>
      <c r="X35" s="347"/>
    </row>
    <row r="36" spans="1:24" ht="57" x14ac:dyDescent="0.2">
      <c r="A36" s="226" t="s">
        <v>97</v>
      </c>
      <c r="B36" s="347" t="s">
        <v>102</v>
      </c>
      <c r="C36" s="347">
        <v>0</v>
      </c>
      <c r="D36" s="347">
        <v>0</v>
      </c>
      <c r="E36" s="347">
        <v>0</v>
      </c>
      <c r="F36" s="347">
        <v>0</v>
      </c>
      <c r="G36" s="347">
        <v>1</v>
      </c>
      <c r="H36" s="347">
        <v>0</v>
      </c>
      <c r="I36" s="347">
        <v>0</v>
      </c>
      <c r="J36" s="347">
        <v>0</v>
      </c>
      <c r="K36" s="347"/>
      <c r="L36" s="347" t="s">
        <v>23</v>
      </c>
      <c r="M36" s="347" t="s">
        <v>1019</v>
      </c>
      <c r="N36" s="347" t="s">
        <v>1282</v>
      </c>
      <c r="O36" s="347" t="s">
        <v>1064</v>
      </c>
      <c r="P36" s="347" t="s">
        <v>1064</v>
      </c>
      <c r="Q36" s="347" t="s">
        <v>1064</v>
      </c>
      <c r="R36" s="347"/>
      <c r="S36" s="347" t="s">
        <v>1011</v>
      </c>
      <c r="T36" s="347" t="s">
        <v>1011</v>
      </c>
      <c r="U36" s="347" t="s">
        <v>1040</v>
      </c>
      <c r="V36" s="347" t="s">
        <v>1011</v>
      </c>
      <c r="W36" s="347"/>
      <c r="X36" s="347"/>
    </row>
    <row r="37" spans="1:24" ht="285" x14ac:dyDescent="0.2">
      <c r="A37" s="226" t="s">
        <v>101</v>
      </c>
      <c r="B37" s="347" t="s">
        <v>1469</v>
      </c>
      <c r="C37" s="347">
        <v>0</v>
      </c>
      <c r="D37" s="347">
        <v>0</v>
      </c>
      <c r="E37" s="347">
        <v>0</v>
      </c>
      <c r="F37" s="347">
        <v>0</v>
      </c>
      <c r="G37" s="347">
        <v>1</v>
      </c>
      <c r="H37" s="347">
        <v>0</v>
      </c>
      <c r="I37" s="347">
        <v>0</v>
      </c>
      <c r="J37" s="347">
        <v>1</v>
      </c>
      <c r="K37" s="347"/>
      <c r="L37" s="347" t="s">
        <v>98</v>
      </c>
      <c r="M37" s="347" t="s">
        <v>72</v>
      </c>
      <c r="N37" s="347" t="s">
        <v>1282</v>
      </c>
      <c r="O37" s="347" t="s">
        <v>1470</v>
      </c>
      <c r="P37" s="347" t="s">
        <v>99</v>
      </c>
      <c r="Q37" s="347" t="s">
        <v>100</v>
      </c>
      <c r="R37" s="347"/>
      <c r="S37" s="347" t="s">
        <v>1283</v>
      </c>
      <c r="T37" s="347" t="s">
        <v>1471</v>
      </c>
      <c r="U37" s="347" t="s">
        <v>40</v>
      </c>
      <c r="V37" s="347" t="s">
        <v>1019</v>
      </c>
      <c r="W37" s="347" t="s">
        <v>46</v>
      </c>
      <c r="X37" s="347">
        <f t="shared" si="0"/>
        <v>20</v>
      </c>
    </row>
    <row r="38" spans="1:24" ht="80.25" customHeight="1" x14ac:dyDescent="0.2">
      <c r="A38" s="226" t="s">
        <v>103</v>
      </c>
      <c r="B38" s="347" t="s">
        <v>1208</v>
      </c>
      <c r="C38" s="347">
        <v>0</v>
      </c>
      <c r="D38" s="347">
        <v>0</v>
      </c>
      <c r="E38" s="347">
        <v>0</v>
      </c>
      <c r="F38" s="347">
        <v>0</v>
      </c>
      <c r="G38" s="347">
        <v>1</v>
      </c>
      <c r="H38" s="347">
        <v>0</v>
      </c>
      <c r="I38" s="347">
        <v>0</v>
      </c>
      <c r="J38" s="347">
        <v>0</v>
      </c>
      <c r="K38" s="347"/>
      <c r="L38" s="347" t="s">
        <v>98</v>
      </c>
      <c r="M38" s="347" t="s">
        <v>1011</v>
      </c>
      <c r="N38" s="347" t="s">
        <v>1282</v>
      </c>
      <c r="O38" s="347" t="s">
        <v>1011</v>
      </c>
      <c r="P38" s="347" t="s">
        <v>1011</v>
      </c>
      <c r="Q38" s="347" t="s">
        <v>1011</v>
      </c>
      <c r="R38" s="347"/>
      <c r="S38" s="347" t="s">
        <v>1556</v>
      </c>
      <c r="T38" s="347" t="s">
        <v>1011</v>
      </c>
      <c r="U38" s="347" t="s">
        <v>40</v>
      </c>
      <c r="V38" s="347" t="s">
        <v>1011</v>
      </c>
      <c r="W38" s="347" t="s">
        <v>46</v>
      </c>
      <c r="X38" s="347">
        <f t="shared" si="0"/>
        <v>20</v>
      </c>
    </row>
    <row r="39" spans="1:24" ht="213.75" x14ac:dyDescent="0.2">
      <c r="A39" s="226" t="s">
        <v>106</v>
      </c>
      <c r="B39" s="347" t="s">
        <v>1209</v>
      </c>
      <c r="C39" s="347">
        <v>0</v>
      </c>
      <c r="D39" s="347">
        <v>0</v>
      </c>
      <c r="E39" s="347">
        <v>0</v>
      </c>
      <c r="F39" s="347">
        <v>0</v>
      </c>
      <c r="G39" s="347">
        <v>1</v>
      </c>
      <c r="H39" s="347">
        <v>0</v>
      </c>
      <c r="I39" s="347">
        <v>0</v>
      </c>
      <c r="J39" s="347">
        <v>0</v>
      </c>
      <c r="K39" s="347"/>
      <c r="L39" s="347" t="s">
        <v>98</v>
      </c>
      <c r="M39" s="347" t="s">
        <v>1011</v>
      </c>
      <c r="N39" s="347" t="s">
        <v>1282</v>
      </c>
      <c r="O39" s="347" t="s">
        <v>1210</v>
      </c>
      <c r="P39" s="347" t="s">
        <v>1210</v>
      </c>
      <c r="Q39" s="347" t="s">
        <v>1210</v>
      </c>
      <c r="R39" s="347"/>
      <c r="S39" s="347" t="s">
        <v>1556</v>
      </c>
      <c r="T39" s="347" t="s">
        <v>1011</v>
      </c>
      <c r="U39" s="347" t="s">
        <v>40</v>
      </c>
      <c r="V39" s="347" t="s">
        <v>1011</v>
      </c>
      <c r="W39" s="347" t="s">
        <v>46</v>
      </c>
      <c r="X39" s="347">
        <f t="shared" si="0"/>
        <v>20</v>
      </c>
    </row>
    <row r="40" spans="1:24" ht="114" x14ac:dyDescent="0.2">
      <c r="A40" s="226" t="s">
        <v>108</v>
      </c>
      <c r="B40" s="347" t="s">
        <v>1020</v>
      </c>
      <c r="C40" s="347">
        <v>0</v>
      </c>
      <c r="D40" s="347">
        <v>0</v>
      </c>
      <c r="E40" s="347">
        <v>0</v>
      </c>
      <c r="F40" s="347">
        <v>0</v>
      </c>
      <c r="G40" s="347">
        <v>1</v>
      </c>
      <c r="H40" s="347">
        <v>0</v>
      </c>
      <c r="I40" s="347">
        <v>0</v>
      </c>
      <c r="J40" s="347">
        <v>0</v>
      </c>
      <c r="K40" s="347"/>
      <c r="L40" s="347" t="s">
        <v>98</v>
      </c>
      <c r="M40" s="347" t="s">
        <v>1019</v>
      </c>
      <c r="N40" s="347" t="s">
        <v>1282</v>
      </c>
      <c r="O40" s="347" t="s">
        <v>1101</v>
      </c>
      <c r="P40" s="347" t="s">
        <v>121</v>
      </c>
      <c r="Q40" s="347" t="s">
        <v>122</v>
      </c>
      <c r="R40" s="347"/>
      <c r="S40" s="347" t="s">
        <v>1011</v>
      </c>
      <c r="T40" s="347" t="s">
        <v>1102</v>
      </c>
      <c r="U40" s="347" t="s">
        <v>40</v>
      </c>
      <c r="V40" s="347" t="s">
        <v>1019</v>
      </c>
      <c r="W40" s="347" t="s">
        <v>46</v>
      </c>
      <c r="X40" s="347">
        <f t="shared" si="0"/>
        <v>20</v>
      </c>
    </row>
    <row r="41" spans="1:24" ht="228" x14ac:dyDescent="0.2">
      <c r="A41" s="226" t="s">
        <v>111</v>
      </c>
      <c r="B41" s="347" t="s">
        <v>1211</v>
      </c>
      <c r="C41" s="347">
        <v>0</v>
      </c>
      <c r="D41" s="347">
        <v>0</v>
      </c>
      <c r="E41" s="347">
        <v>0</v>
      </c>
      <c r="F41" s="347">
        <v>0</v>
      </c>
      <c r="G41" s="347">
        <v>1</v>
      </c>
      <c r="H41" s="347">
        <v>0</v>
      </c>
      <c r="I41" s="347">
        <v>0</v>
      </c>
      <c r="J41" s="347">
        <v>1</v>
      </c>
      <c r="K41" s="347"/>
      <c r="L41" s="347" t="s">
        <v>98</v>
      </c>
      <c r="M41" s="347" t="s">
        <v>72</v>
      </c>
      <c r="N41" s="347" t="s">
        <v>1282</v>
      </c>
      <c r="O41" s="347" t="s">
        <v>1103</v>
      </c>
      <c r="P41" s="347" t="s">
        <v>104</v>
      </c>
      <c r="Q41" s="347" t="s">
        <v>105</v>
      </c>
      <c r="R41" s="347"/>
      <c r="S41" s="347" t="s">
        <v>1212</v>
      </c>
      <c r="T41" s="347" t="s">
        <v>1472</v>
      </c>
      <c r="U41" s="347" t="s">
        <v>40</v>
      </c>
      <c r="V41" s="347" t="s">
        <v>1019</v>
      </c>
      <c r="W41" s="347" t="s">
        <v>75</v>
      </c>
      <c r="X41" s="347">
        <f t="shared" si="0"/>
        <v>10</v>
      </c>
    </row>
    <row r="42" spans="1:24" ht="185.25" x14ac:dyDescent="0.2">
      <c r="A42" s="226" t="s">
        <v>112</v>
      </c>
      <c r="B42" s="347" t="s">
        <v>1213</v>
      </c>
      <c r="C42" s="347">
        <v>0</v>
      </c>
      <c r="D42" s="347">
        <v>0</v>
      </c>
      <c r="E42" s="347">
        <v>0</v>
      </c>
      <c r="F42" s="347">
        <v>0</v>
      </c>
      <c r="G42" s="347">
        <v>1</v>
      </c>
      <c r="H42" s="347">
        <v>0</v>
      </c>
      <c r="I42" s="347">
        <v>0</v>
      </c>
      <c r="J42" s="347">
        <v>0</v>
      </c>
      <c r="K42" s="347"/>
      <c r="L42" s="347" t="s">
        <v>98</v>
      </c>
      <c r="M42" s="347" t="s">
        <v>1019</v>
      </c>
      <c r="N42" s="347" t="s">
        <v>1282</v>
      </c>
      <c r="O42" s="347" t="s">
        <v>1562</v>
      </c>
      <c r="P42" s="347" t="s">
        <v>1561</v>
      </c>
      <c r="Q42" s="347" t="s">
        <v>107</v>
      </c>
      <c r="R42" s="347"/>
      <c r="S42" s="347" t="s">
        <v>1214</v>
      </c>
      <c r="T42" s="347" t="s">
        <v>1011</v>
      </c>
      <c r="U42" s="347" t="s">
        <v>40</v>
      </c>
      <c r="V42" s="347" t="s">
        <v>1019</v>
      </c>
      <c r="W42" s="347" t="s">
        <v>75</v>
      </c>
      <c r="X42" s="347">
        <f t="shared" si="0"/>
        <v>10</v>
      </c>
    </row>
    <row r="43" spans="1:24" ht="342" x14ac:dyDescent="0.2">
      <c r="A43" s="226" t="s">
        <v>113</v>
      </c>
      <c r="B43" s="347" t="s">
        <v>109</v>
      </c>
      <c r="C43" s="347">
        <v>0</v>
      </c>
      <c r="D43" s="347">
        <v>0</v>
      </c>
      <c r="E43" s="347">
        <v>0</v>
      </c>
      <c r="F43" s="347">
        <v>0</v>
      </c>
      <c r="G43" s="347">
        <v>1</v>
      </c>
      <c r="H43" s="347">
        <v>0</v>
      </c>
      <c r="I43" s="347">
        <v>0</v>
      </c>
      <c r="J43" s="347">
        <v>0</v>
      </c>
      <c r="K43" s="347"/>
      <c r="L43" s="347" t="s">
        <v>98</v>
      </c>
      <c r="M43" s="347" t="s">
        <v>1019</v>
      </c>
      <c r="N43" s="347" t="s">
        <v>1282</v>
      </c>
      <c r="O43" s="347" t="s">
        <v>1011</v>
      </c>
      <c r="P43" s="347" t="s">
        <v>1215</v>
      </c>
      <c r="Q43" s="347" t="s">
        <v>110</v>
      </c>
      <c r="R43" s="347"/>
      <c r="S43" s="347" t="s">
        <v>1473</v>
      </c>
      <c r="T43" s="347" t="s">
        <v>1011</v>
      </c>
      <c r="U43" s="347" t="s">
        <v>40</v>
      </c>
      <c r="V43" s="347" t="s">
        <v>1019</v>
      </c>
      <c r="W43" s="347" t="s">
        <v>75</v>
      </c>
      <c r="X43" s="347">
        <f t="shared" si="0"/>
        <v>10</v>
      </c>
    </row>
    <row r="44" spans="1:24" ht="171" x14ac:dyDescent="0.2">
      <c r="A44" s="226" t="s">
        <v>114</v>
      </c>
      <c r="B44" s="347" t="s">
        <v>1216</v>
      </c>
      <c r="C44" s="347">
        <v>0</v>
      </c>
      <c r="D44" s="347">
        <v>0</v>
      </c>
      <c r="E44" s="347">
        <v>0</v>
      </c>
      <c r="F44" s="347">
        <v>0</v>
      </c>
      <c r="G44" s="347">
        <v>1</v>
      </c>
      <c r="H44" s="347">
        <v>0</v>
      </c>
      <c r="I44" s="347">
        <v>0</v>
      </c>
      <c r="J44" s="347">
        <v>0</v>
      </c>
      <c r="K44" s="347"/>
      <c r="L44" s="347" t="s">
        <v>98</v>
      </c>
      <c r="M44" s="347" t="s">
        <v>1019</v>
      </c>
      <c r="N44" s="347" t="s">
        <v>1282</v>
      </c>
      <c r="O44" s="347" t="s">
        <v>1217</v>
      </c>
      <c r="P44" s="347" t="s">
        <v>1218</v>
      </c>
      <c r="Q44" s="347" t="s">
        <v>1560</v>
      </c>
      <c r="R44" s="347"/>
      <c r="S44" s="347" t="s">
        <v>1284</v>
      </c>
      <c r="T44" s="347" t="s">
        <v>1011</v>
      </c>
      <c r="U44" s="347" t="s">
        <v>40</v>
      </c>
      <c r="V44" s="347" t="s">
        <v>1019</v>
      </c>
      <c r="W44" s="347" t="s">
        <v>75</v>
      </c>
      <c r="X44" s="347">
        <f t="shared" si="0"/>
        <v>10</v>
      </c>
    </row>
    <row r="45" spans="1:24" ht="228" x14ac:dyDescent="0.2">
      <c r="A45" s="226" t="s">
        <v>116</v>
      </c>
      <c r="B45" s="347" t="s">
        <v>115</v>
      </c>
      <c r="C45" s="347">
        <v>0</v>
      </c>
      <c r="D45" s="347">
        <v>0</v>
      </c>
      <c r="E45" s="347">
        <v>0</v>
      </c>
      <c r="F45" s="347">
        <v>0</v>
      </c>
      <c r="G45" s="347">
        <v>1</v>
      </c>
      <c r="H45" s="347">
        <v>0</v>
      </c>
      <c r="I45" s="347">
        <v>0</v>
      </c>
      <c r="J45" s="347">
        <v>0</v>
      </c>
      <c r="K45" s="347"/>
      <c r="L45" s="347" t="s">
        <v>98</v>
      </c>
      <c r="M45" s="347" t="s">
        <v>1019</v>
      </c>
      <c r="N45" s="347" t="s">
        <v>1282</v>
      </c>
      <c r="O45" s="347" t="s">
        <v>1474</v>
      </c>
      <c r="P45" s="347" t="s">
        <v>1219</v>
      </c>
      <c r="Q45" s="347" t="s">
        <v>1104</v>
      </c>
      <c r="R45" s="347"/>
      <c r="S45" s="347" t="s">
        <v>1285</v>
      </c>
      <c r="T45" s="347" t="s">
        <v>1286</v>
      </c>
      <c r="U45" s="347" t="s">
        <v>40</v>
      </c>
      <c r="V45" s="347" t="s">
        <v>1019</v>
      </c>
      <c r="W45" s="347" t="s">
        <v>75</v>
      </c>
      <c r="X45" s="347">
        <f t="shared" si="0"/>
        <v>10</v>
      </c>
    </row>
    <row r="46" spans="1:24" ht="270.75" x14ac:dyDescent="0.2">
      <c r="A46" s="226" t="s">
        <v>120</v>
      </c>
      <c r="B46" s="347" t="s">
        <v>117</v>
      </c>
      <c r="C46" s="347">
        <v>0</v>
      </c>
      <c r="D46" s="347">
        <v>0</v>
      </c>
      <c r="E46" s="347">
        <v>0</v>
      </c>
      <c r="F46" s="347">
        <v>0</v>
      </c>
      <c r="G46" s="347">
        <v>1</v>
      </c>
      <c r="H46" s="347">
        <v>0</v>
      </c>
      <c r="I46" s="347">
        <v>0</v>
      </c>
      <c r="J46" s="347">
        <v>0</v>
      </c>
      <c r="K46" s="347"/>
      <c r="L46" s="347" t="s">
        <v>98</v>
      </c>
      <c r="M46" s="347" t="s">
        <v>1019</v>
      </c>
      <c r="N46" s="347" t="s">
        <v>1282</v>
      </c>
      <c r="O46" s="347" t="s">
        <v>1475</v>
      </c>
      <c r="P46" s="347" t="s">
        <v>118</v>
      </c>
      <c r="Q46" s="347" t="s">
        <v>119</v>
      </c>
      <c r="R46" s="347"/>
      <c r="S46" s="347" t="s">
        <v>1287</v>
      </c>
      <c r="T46" s="347" t="s">
        <v>1011</v>
      </c>
      <c r="U46" s="347" t="s">
        <v>40</v>
      </c>
      <c r="V46" s="347" t="s">
        <v>1019</v>
      </c>
      <c r="W46" s="347" t="s">
        <v>75</v>
      </c>
      <c r="X46" s="347">
        <f t="shared" si="0"/>
        <v>10</v>
      </c>
    </row>
    <row r="47" spans="1:24" ht="313.5" x14ac:dyDescent="0.2">
      <c r="A47" s="226" t="s">
        <v>123</v>
      </c>
      <c r="B47" s="347" t="s">
        <v>124</v>
      </c>
      <c r="C47" s="347">
        <v>0</v>
      </c>
      <c r="D47" s="347">
        <v>0</v>
      </c>
      <c r="E47" s="347">
        <v>0</v>
      </c>
      <c r="F47" s="347">
        <v>0</v>
      </c>
      <c r="G47" s="347">
        <v>1</v>
      </c>
      <c r="H47" s="347">
        <v>0</v>
      </c>
      <c r="I47" s="347">
        <v>0</v>
      </c>
      <c r="J47" s="347">
        <v>0</v>
      </c>
      <c r="K47" s="347"/>
      <c r="L47" s="347" t="s">
        <v>98</v>
      </c>
      <c r="M47" s="347" t="s">
        <v>1019</v>
      </c>
      <c r="N47" s="347" t="s">
        <v>1282</v>
      </c>
      <c r="O47" s="347" t="s">
        <v>1558</v>
      </c>
      <c r="P47" s="347" t="s">
        <v>125</v>
      </c>
      <c r="Q47" s="347" t="s">
        <v>1559</v>
      </c>
      <c r="R47" s="347"/>
      <c r="S47" s="347" t="s">
        <v>1288</v>
      </c>
      <c r="U47" s="347" t="s">
        <v>40</v>
      </c>
      <c r="V47" s="347" t="s">
        <v>1019</v>
      </c>
      <c r="W47" s="347" t="s">
        <v>75</v>
      </c>
      <c r="X47" s="347">
        <f t="shared" si="0"/>
        <v>10</v>
      </c>
    </row>
    <row r="48" spans="1:24" ht="171" x14ac:dyDescent="0.2">
      <c r="A48" s="226" t="s">
        <v>126</v>
      </c>
      <c r="B48" s="347" t="s">
        <v>127</v>
      </c>
      <c r="C48" s="347">
        <v>0</v>
      </c>
      <c r="D48" s="347">
        <v>0</v>
      </c>
      <c r="E48" s="347">
        <v>0</v>
      </c>
      <c r="F48" s="347">
        <v>0</v>
      </c>
      <c r="G48" s="347">
        <v>1</v>
      </c>
      <c r="H48" s="347">
        <v>0</v>
      </c>
      <c r="I48" s="347">
        <v>0</v>
      </c>
      <c r="J48" s="347">
        <v>0</v>
      </c>
      <c r="K48" s="347"/>
      <c r="L48" s="347" t="s">
        <v>98</v>
      </c>
      <c r="M48" s="347" t="s">
        <v>1019</v>
      </c>
      <c r="N48" s="347" t="s">
        <v>1282</v>
      </c>
      <c r="O48" s="347" t="s">
        <v>1011</v>
      </c>
      <c r="P48" s="347" t="s">
        <v>1220</v>
      </c>
      <c r="Q48" s="347" t="s">
        <v>128</v>
      </c>
      <c r="R48" s="347"/>
      <c r="S48" s="347" t="s">
        <v>1105</v>
      </c>
      <c r="T48" s="347" t="s">
        <v>1545</v>
      </c>
      <c r="U48" s="347" t="s">
        <v>40</v>
      </c>
      <c r="V48" s="347" t="s">
        <v>1019</v>
      </c>
      <c r="W48" s="347" t="s">
        <v>75</v>
      </c>
      <c r="X48" s="347">
        <f t="shared" si="0"/>
        <v>10</v>
      </c>
    </row>
    <row r="49" spans="1:24" ht="242.25" x14ac:dyDescent="0.2">
      <c r="A49" s="226" t="s">
        <v>129</v>
      </c>
      <c r="B49" s="347" t="s">
        <v>1557</v>
      </c>
      <c r="C49" s="347">
        <v>0</v>
      </c>
      <c r="D49" s="347">
        <v>0</v>
      </c>
      <c r="E49" s="347">
        <v>0</v>
      </c>
      <c r="F49" s="347">
        <v>0</v>
      </c>
      <c r="G49" s="347">
        <v>1</v>
      </c>
      <c r="H49" s="347">
        <v>0</v>
      </c>
      <c r="I49" s="347">
        <v>0</v>
      </c>
      <c r="J49" s="347">
        <v>0</v>
      </c>
      <c r="K49" s="347"/>
      <c r="L49" s="347" t="s">
        <v>98</v>
      </c>
      <c r="M49" s="347" t="s">
        <v>1019</v>
      </c>
      <c r="N49" s="347" t="s">
        <v>1282</v>
      </c>
      <c r="O49" s="347" t="s">
        <v>1106</v>
      </c>
      <c r="P49" s="347" t="s">
        <v>1106</v>
      </c>
      <c r="Q49" s="347" t="s">
        <v>1107</v>
      </c>
      <c r="R49" s="347"/>
      <c r="S49" s="347" t="s">
        <v>1476</v>
      </c>
      <c r="T49" s="347" t="s">
        <v>1011</v>
      </c>
      <c r="U49" s="347" t="s">
        <v>149</v>
      </c>
      <c r="V49" s="347" t="s">
        <v>1019</v>
      </c>
      <c r="W49" s="347" t="s">
        <v>75</v>
      </c>
      <c r="X49" s="347">
        <f t="shared" si="0"/>
        <v>10</v>
      </c>
    </row>
    <row r="50" spans="1:24" ht="213.75" x14ac:dyDescent="0.2">
      <c r="A50" s="347" t="s">
        <v>130</v>
      </c>
      <c r="B50" s="347" t="s">
        <v>1108</v>
      </c>
      <c r="C50" s="347">
        <v>0</v>
      </c>
      <c r="D50" s="347">
        <v>1</v>
      </c>
      <c r="E50" s="347">
        <v>0</v>
      </c>
      <c r="F50" s="347">
        <v>0</v>
      </c>
      <c r="G50" s="347">
        <v>0</v>
      </c>
      <c r="H50" s="347">
        <v>0</v>
      </c>
      <c r="I50" s="347">
        <v>0</v>
      </c>
      <c r="J50" s="347">
        <v>1</v>
      </c>
      <c r="K50" s="347"/>
      <c r="L50" s="347" t="s">
        <v>131</v>
      </c>
      <c r="M50" s="347" t="s">
        <v>1019</v>
      </c>
      <c r="N50" s="347" t="s">
        <v>1011</v>
      </c>
      <c r="O50" s="347"/>
      <c r="P50" s="347" t="s">
        <v>132</v>
      </c>
      <c r="Q50" s="347" t="s">
        <v>133</v>
      </c>
      <c r="R50" s="347"/>
      <c r="S50" s="347" t="s">
        <v>1289</v>
      </c>
      <c r="T50" s="347" t="s">
        <v>1290</v>
      </c>
      <c r="U50" s="347" t="s">
        <v>40</v>
      </c>
      <c r="V50" s="347" t="s">
        <v>1019</v>
      </c>
      <c r="W50" s="347" t="s">
        <v>46</v>
      </c>
      <c r="X50" s="347">
        <f t="shared" si="0"/>
        <v>20</v>
      </c>
    </row>
    <row r="51" spans="1:24" ht="114" x14ac:dyDescent="0.2">
      <c r="A51" s="347" t="s">
        <v>134</v>
      </c>
      <c r="B51" s="347" t="s">
        <v>1477</v>
      </c>
      <c r="C51" s="347">
        <v>0</v>
      </c>
      <c r="D51" s="347">
        <v>1</v>
      </c>
      <c r="E51" s="347">
        <v>0</v>
      </c>
      <c r="F51" s="347">
        <v>0</v>
      </c>
      <c r="G51" s="347">
        <v>0</v>
      </c>
      <c r="H51" s="347">
        <v>0</v>
      </c>
      <c r="I51" s="347">
        <v>0</v>
      </c>
      <c r="J51" s="347">
        <v>1</v>
      </c>
      <c r="K51" s="347"/>
      <c r="L51" s="347" t="s">
        <v>131</v>
      </c>
      <c r="M51" s="347" t="s">
        <v>1019</v>
      </c>
      <c r="N51" s="347" t="s">
        <v>1011</v>
      </c>
      <c r="O51" s="347" t="s">
        <v>1453</v>
      </c>
      <c r="P51" s="347" t="s">
        <v>1453</v>
      </c>
      <c r="Q51" s="347" t="s">
        <v>1453</v>
      </c>
      <c r="R51" s="347"/>
      <c r="S51" s="347" t="s">
        <v>135</v>
      </c>
      <c r="T51" s="347" t="s">
        <v>136</v>
      </c>
      <c r="U51" s="347" t="s">
        <v>40</v>
      </c>
      <c r="V51" s="347" t="s">
        <v>1019</v>
      </c>
      <c r="W51" s="347" t="s">
        <v>46</v>
      </c>
      <c r="X51" s="347">
        <f t="shared" si="0"/>
        <v>20</v>
      </c>
    </row>
    <row r="52" spans="1:24" ht="85.5" x14ac:dyDescent="0.2">
      <c r="A52" s="347" t="s">
        <v>137</v>
      </c>
      <c r="B52" s="347" t="s">
        <v>1478</v>
      </c>
      <c r="C52" s="347">
        <v>0</v>
      </c>
      <c r="D52" s="347">
        <v>1</v>
      </c>
      <c r="E52" s="347">
        <v>0</v>
      </c>
      <c r="F52" s="347">
        <v>0</v>
      </c>
      <c r="G52" s="347">
        <v>0</v>
      </c>
      <c r="H52" s="347">
        <v>0</v>
      </c>
      <c r="I52" s="347">
        <v>0</v>
      </c>
      <c r="J52" s="347">
        <v>1</v>
      </c>
      <c r="K52" s="347"/>
      <c r="L52" s="347" t="s">
        <v>131</v>
      </c>
      <c r="M52" s="347" t="s">
        <v>1019</v>
      </c>
      <c r="N52" s="347" t="s">
        <v>1011</v>
      </c>
      <c r="O52" s="347" t="s">
        <v>1011</v>
      </c>
      <c r="P52" s="347" t="s">
        <v>1011</v>
      </c>
      <c r="Q52" s="347" t="s">
        <v>1011</v>
      </c>
      <c r="R52" s="347"/>
      <c r="S52" s="347" t="s">
        <v>1109</v>
      </c>
      <c r="T52" s="347" t="s">
        <v>1110</v>
      </c>
      <c r="U52" s="347" t="s">
        <v>40</v>
      </c>
      <c r="V52" s="347" t="s">
        <v>1019</v>
      </c>
      <c r="W52" s="347" t="s">
        <v>46</v>
      </c>
      <c r="X52" s="347">
        <f t="shared" si="0"/>
        <v>20</v>
      </c>
    </row>
    <row r="53" spans="1:24" ht="384.75" x14ac:dyDescent="0.2">
      <c r="A53" s="347" t="s">
        <v>138</v>
      </c>
      <c r="B53" s="347" t="s">
        <v>1021</v>
      </c>
      <c r="C53" s="347">
        <v>0</v>
      </c>
      <c r="D53" s="347">
        <v>1</v>
      </c>
      <c r="E53" s="347">
        <v>0</v>
      </c>
      <c r="F53" s="347">
        <v>0</v>
      </c>
      <c r="G53" s="347">
        <v>0</v>
      </c>
      <c r="H53" s="347">
        <v>0</v>
      </c>
      <c r="I53" s="347">
        <v>0</v>
      </c>
      <c r="J53" s="347">
        <v>1</v>
      </c>
      <c r="K53" s="347"/>
      <c r="L53" s="347" t="s">
        <v>131</v>
      </c>
      <c r="M53" s="347" t="s">
        <v>1019</v>
      </c>
      <c r="N53" s="347" t="s">
        <v>1011</v>
      </c>
      <c r="O53" s="347" t="s">
        <v>1291</v>
      </c>
      <c r="P53" s="347" t="s">
        <v>139</v>
      </c>
      <c r="Q53" s="347" t="s">
        <v>140</v>
      </c>
      <c r="R53" s="347"/>
      <c r="S53" s="347" t="s">
        <v>1292</v>
      </c>
      <c r="T53" s="347" t="s">
        <v>1293</v>
      </c>
      <c r="U53" s="347" t="s">
        <v>40</v>
      </c>
      <c r="V53" s="347" t="s">
        <v>1019</v>
      </c>
      <c r="W53" s="347" t="s">
        <v>46</v>
      </c>
      <c r="X53" s="347">
        <f t="shared" si="0"/>
        <v>20</v>
      </c>
    </row>
    <row r="54" spans="1:24" ht="213.75" x14ac:dyDescent="0.2">
      <c r="A54" s="347" t="s">
        <v>141</v>
      </c>
      <c r="B54" s="347" t="s">
        <v>1111</v>
      </c>
      <c r="C54" s="347">
        <v>0</v>
      </c>
      <c r="D54" s="347">
        <v>1</v>
      </c>
      <c r="E54" s="347">
        <v>0</v>
      </c>
      <c r="F54" s="347">
        <v>0</v>
      </c>
      <c r="G54" s="347">
        <v>0</v>
      </c>
      <c r="H54" s="347">
        <v>0</v>
      </c>
      <c r="I54" s="347">
        <v>0</v>
      </c>
      <c r="J54" s="347">
        <v>0</v>
      </c>
      <c r="K54" s="347"/>
      <c r="L54" s="347" t="s">
        <v>131</v>
      </c>
      <c r="M54" s="347" t="s">
        <v>1019</v>
      </c>
      <c r="N54" s="347" t="s">
        <v>1011</v>
      </c>
      <c r="O54" s="347" t="s">
        <v>142</v>
      </c>
      <c r="P54" s="347" t="s">
        <v>143</v>
      </c>
      <c r="Q54" s="347" t="s">
        <v>144</v>
      </c>
      <c r="R54" s="347"/>
      <c r="S54" s="347" t="s">
        <v>1294</v>
      </c>
      <c r="T54" s="347" t="s">
        <v>145</v>
      </c>
      <c r="U54" s="347" t="s">
        <v>40</v>
      </c>
      <c r="V54" s="347" t="s">
        <v>1019</v>
      </c>
      <c r="W54" s="347" t="s">
        <v>75</v>
      </c>
      <c r="X54" s="347">
        <f t="shared" si="0"/>
        <v>10</v>
      </c>
    </row>
    <row r="55" spans="1:24" ht="171" x14ac:dyDescent="0.2">
      <c r="A55" s="347" t="s">
        <v>146</v>
      </c>
      <c r="B55" s="347" t="s">
        <v>1022</v>
      </c>
      <c r="C55" s="347">
        <v>0</v>
      </c>
      <c r="D55" s="347">
        <v>0</v>
      </c>
      <c r="E55" s="347">
        <v>0</v>
      </c>
      <c r="F55" s="347">
        <v>0</v>
      </c>
      <c r="G55" s="347">
        <v>0</v>
      </c>
      <c r="H55" s="347">
        <v>1</v>
      </c>
      <c r="I55" s="347">
        <v>0</v>
      </c>
      <c r="J55" s="347">
        <v>1</v>
      </c>
      <c r="K55" s="347"/>
      <c r="L55" s="347" t="s">
        <v>148</v>
      </c>
      <c r="M55" s="347" t="s">
        <v>1019</v>
      </c>
      <c r="N55" s="347" t="s">
        <v>1295</v>
      </c>
      <c r="O55" s="347" t="s">
        <v>1011</v>
      </c>
      <c r="P55" s="347" t="s">
        <v>1011</v>
      </c>
      <c r="Q55" s="347" t="s">
        <v>1011</v>
      </c>
      <c r="R55" s="347"/>
      <c r="S55" s="347" t="s">
        <v>1112</v>
      </c>
      <c r="T55" s="347" t="s">
        <v>34</v>
      </c>
      <c r="U55" s="347" t="s">
        <v>149</v>
      </c>
      <c r="V55" s="347" t="s">
        <v>1019</v>
      </c>
      <c r="W55" s="347" t="s">
        <v>46</v>
      </c>
      <c r="X55" s="347">
        <f t="shared" si="0"/>
        <v>20</v>
      </c>
    </row>
    <row r="56" spans="1:24" ht="171" x14ac:dyDescent="0.2">
      <c r="A56" s="347" t="s">
        <v>150</v>
      </c>
      <c r="B56" s="347" t="s">
        <v>1023</v>
      </c>
      <c r="C56" s="347">
        <v>0</v>
      </c>
      <c r="D56" s="347">
        <v>0</v>
      </c>
      <c r="E56" s="347">
        <v>0</v>
      </c>
      <c r="F56" s="347">
        <v>0</v>
      </c>
      <c r="G56" s="347">
        <v>0</v>
      </c>
      <c r="H56" s="347">
        <v>1</v>
      </c>
      <c r="I56" s="347">
        <v>0</v>
      </c>
      <c r="J56" s="347">
        <v>1</v>
      </c>
      <c r="K56" s="347"/>
      <c r="L56" s="347" t="s">
        <v>148</v>
      </c>
      <c r="M56" s="347" t="s">
        <v>1019</v>
      </c>
      <c r="N56" s="347" t="s">
        <v>1295</v>
      </c>
      <c r="O56" s="347" t="s">
        <v>1011</v>
      </c>
      <c r="P56" s="347" t="s">
        <v>1011</v>
      </c>
      <c r="Q56" s="347" t="s">
        <v>1011</v>
      </c>
      <c r="R56" s="347"/>
      <c r="S56" s="347" t="s">
        <v>1112</v>
      </c>
      <c r="T56" s="347" t="s">
        <v>34</v>
      </c>
      <c r="U56" s="347" t="s">
        <v>40</v>
      </c>
      <c r="V56" s="347" t="s">
        <v>1019</v>
      </c>
      <c r="W56" s="347" t="s">
        <v>46</v>
      </c>
      <c r="X56" s="347">
        <f t="shared" si="0"/>
        <v>20</v>
      </c>
    </row>
    <row r="57" spans="1:24" ht="171" x14ac:dyDescent="0.2">
      <c r="A57" s="347" t="s">
        <v>151</v>
      </c>
      <c r="B57" s="347" t="s">
        <v>1479</v>
      </c>
      <c r="C57" s="347">
        <v>0</v>
      </c>
      <c r="D57" s="347">
        <v>0</v>
      </c>
      <c r="E57" s="347">
        <v>0</v>
      </c>
      <c r="F57" s="347">
        <v>0</v>
      </c>
      <c r="G57" s="347">
        <v>0</v>
      </c>
      <c r="H57" s="347">
        <v>1</v>
      </c>
      <c r="I57" s="347">
        <v>0</v>
      </c>
      <c r="J57" s="347">
        <v>1</v>
      </c>
      <c r="K57" s="347"/>
      <c r="L57" s="347" t="s">
        <v>148</v>
      </c>
      <c r="M57" s="347" t="s">
        <v>1019</v>
      </c>
      <c r="N57" s="347" t="s">
        <v>1295</v>
      </c>
      <c r="O57" s="347" t="s">
        <v>1011</v>
      </c>
      <c r="P57" s="347" t="s">
        <v>1011</v>
      </c>
      <c r="Q57" s="347" t="s">
        <v>1011</v>
      </c>
      <c r="R57" s="347" t="s">
        <v>1586</v>
      </c>
      <c r="S57" s="347" t="s">
        <v>1112</v>
      </c>
      <c r="T57" s="347" t="s">
        <v>34</v>
      </c>
      <c r="U57" s="347" t="s">
        <v>40</v>
      </c>
      <c r="V57" s="347" t="s">
        <v>1019</v>
      </c>
      <c r="W57" s="347" t="s">
        <v>46</v>
      </c>
      <c r="X57" s="347">
        <f t="shared" si="0"/>
        <v>20</v>
      </c>
    </row>
    <row r="58" spans="1:24" ht="171" x14ac:dyDescent="0.2">
      <c r="A58" s="347" t="s">
        <v>153</v>
      </c>
      <c r="B58" s="347" t="s">
        <v>1518</v>
      </c>
      <c r="C58" s="347">
        <v>0</v>
      </c>
      <c r="D58" s="347">
        <v>0</v>
      </c>
      <c r="E58" s="347">
        <v>0</v>
      </c>
      <c r="F58" s="347">
        <v>0</v>
      </c>
      <c r="G58" s="347">
        <v>0</v>
      </c>
      <c r="H58" s="347">
        <v>1</v>
      </c>
      <c r="I58" s="347">
        <v>0</v>
      </c>
      <c r="J58" s="347">
        <v>1</v>
      </c>
      <c r="K58" s="347"/>
      <c r="L58" s="347" t="s">
        <v>148</v>
      </c>
      <c r="M58" s="347" t="s">
        <v>1019</v>
      </c>
      <c r="N58" s="347" t="s">
        <v>1295</v>
      </c>
      <c r="O58" s="347" t="s">
        <v>1011</v>
      </c>
      <c r="P58" s="347" t="s">
        <v>1011</v>
      </c>
      <c r="Q58" s="347" t="s">
        <v>1011</v>
      </c>
      <c r="R58" s="347" t="s">
        <v>1586</v>
      </c>
      <c r="S58" s="347" t="s">
        <v>1112</v>
      </c>
      <c r="T58" s="347" t="s">
        <v>34</v>
      </c>
      <c r="U58" s="347" t="s">
        <v>40</v>
      </c>
      <c r="V58" s="347" t="s">
        <v>1019</v>
      </c>
      <c r="W58" s="347" t="s">
        <v>46</v>
      </c>
      <c r="X58" s="347">
        <f t="shared" si="0"/>
        <v>20</v>
      </c>
    </row>
    <row r="59" spans="1:24" ht="171" x14ac:dyDescent="0.2">
      <c r="A59" s="347" t="s">
        <v>155</v>
      </c>
      <c r="B59" s="347" t="s">
        <v>147</v>
      </c>
      <c r="C59" s="347">
        <v>0</v>
      </c>
      <c r="D59" s="347">
        <v>0</v>
      </c>
      <c r="E59" s="347">
        <v>0</v>
      </c>
      <c r="F59" s="347">
        <v>0</v>
      </c>
      <c r="G59" s="347">
        <v>0</v>
      </c>
      <c r="H59" s="347">
        <v>1</v>
      </c>
      <c r="I59" s="347">
        <v>0</v>
      </c>
      <c r="J59" s="347">
        <v>1</v>
      </c>
      <c r="K59" s="347"/>
      <c r="L59" s="347" t="s">
        <v>148</v>
      </c>
      <c r="M59" s="347" t="s">
        <v>1019</v>
      </c>
      <c r="N59" s="347" t="s">
        <v>1295</v>
      </c>
      <c r="O59" s="347" t="s">
        <v>1011</v>
      </c>
      <c r="P59" s="347" t="s">
        <v>1011</v>
      </c>
      <c r="Q59" s="347" t="s">
        <v>1011</v>
      </c>
      <c r="R59" s="347"/>
      <c r="S59" s="347" t="s">
        <v>1112</v>
      </c>
      <c r="T59" s="347" t="s">
        <v>34</v>
      </c>
      <c r="U59" s="347" t="s">
        <v>149</v>
      </c>
      <c r="V59" s="347" t="s">
        <v>1019</v>
      </c>
      <c r="W59" s="347" t="s">
        <v>75</v>
      </c>
      <c r="X59" s="347">
        <f t="shared" si="0"/>
        <v>10</v>
      </c>
    </row>
    <row r="60" spans="1:24" ht="171" x14ac:dyDescent="0.2">
      <c r="A60" s="347" t="s">
        <v>156</v>
      </c>
      <c r="B60" s="347" t="s">
        <v>152</v>
      </c>
      <c r="C60" s="347">
        <v>0</v>
      </c>
      <c r="D60" s="347">
        <v>0</v>
      </c>
      <c r="E60" s="347">
        <v>0</v>
      </c>
      <c r="F60" s="347">
        <v>0</v>
      </c>
      <c r="G60" s="347">
        <v>0</v>
      </c>
      <c r="H60" s="347">
        <v>1</v>
      </c>
      <c r="I60" s="347">
        <v>0</v>
      </c>
      <c r="J60" s="347">
        <v>1</v>
      </c>
      <c r="K60" s="347"/>
      <c r="L60" s="347" t="s">
        <v>148</v>
      </c>
      <c r="M60" s="347" t="s">
        <v>1019</v>
      </c>
      <c r="N60" s="347" t="s">
        <v>1295</v>
      </c>
      <c r="O60" s="347" t="s">
        <v>1011</v>
      </c>
      <c r="P60" s="347" t="s">
        <v>1011</v>
      </c>
      <c r="Q60" s="347" t="s">
        <v>1011</v>
      </c>
      <c r="R60" s="347"/>
      <c r="S60" s="347" t="s">
        <v>1112</v>
      </c>
      <c r="T60" s="347" t="s">
        <v>34</v>
      </c>
      <c r="U60" s="347" t="s">
        <v>149</v>
      </c>
      <c r="V60" s="347" t="s">
        <v>1019</v>
      </c>
      <c r="W60" s="347" t="s">
        <v>75</v>
      </c>
      <c r="X60" s="347">
        <f t="shared" si="0"/>
        <v>10</v>
      </c>
    </row>
    <row r="61" spans="1:24" ht="171" x14ac:dyDescent="0.2">
      <c r="A61" s="347" t="s">
        <v>158</v>
      </c>
      <c r="B61" s="347" t="s">
        <v>154</v>
      </c>
      <c r="C61" s="347">
        <v>0</v>
      </c>
      <c r="D61" s="347">
        <v>0</v>
      </c>
      <c r="E61" s="347">
        <v>0</v>
      </c>
      <c r="F61" s="347">
        <v>0</v>
      </c>
      <c r="G61" s="347">
        <v>0</v>
      </c>
      <c r="H61" s="347">
        <v>1</v>
      </c>
      <c r="I61" s="347">
        <v>0</v>
      </c>
      <c r="J61" s="347">
        <v>1</v>
      </c>
      <c r="K61" s="347"/>
      <c r="L61" s="347" t="s">
        <v>148</v>
      </c>
      <c r="M61" s="347" t="s">
        <v>1019</v>
      </c>
      <c r="N61" s="347" t="s">
        <v>1295</v>
      </c>
      <c r="O61" s="347" t="s">
        <v>1011</v>
      </c>
      <c r="P61" s="347" t="s">
        <v>1011</v>
      </c>
      <c r="Q61" s="347" t="s">
        <v>1011</v>
      </c>
      <c r="R61" s="347"/>
      <c r="S61" s="347" t="s">
        <v>1112</v>
      </c>
      <c r="T61" s="347" t="s">
        <v>34</v>
      </c>
      <c r="U61" s="347" t="s">
        <v>149</v>
      </c>
      <c r="V61" s="347" t="s">
        <v>1019</v>
      </c>
      <c r="W61" s="347" t="s">
        <v>75</v>
      </c>
      <c r="X61" s="347">
        <f t="shared" si="0"/>
        <v>10</v>
      </c>
    </row>
    <row r="62" spans="1:24" ht="171" x14ac:dyDescent="0.2">
      <c r="A62" s="347" t="s">
        <v>159</v>
      </c>
      <c r="B62" s="347" t="s">
        <v>157</v>
      </c>
      <c r="C62" s="347">
        <v>0</v>
      </c>
      <c r="D62" s="347">
        <v>0</v>
      </c>
      <c r="E62" s="347">
        <v>0</v>
      </c>
      <c r="F62" s="347">
        <v>0</v>
      </c>
      <c r="G62" s="347">
        <v>0</v>
      </c>
      <c r="H62" s="347">
        <v>1</v>
      </c>
      <c r="I62" s="347">
        <v>0</v>
      </c>
      <c r="J62" s="347">
        <v>1</v>
      </c>
      <c r="K62" s="347"/>
      <c r="L62" s="347" t="s">
        <v>148</v>
      </c>
      <c r="M62" s="347" t="s">
        <v>1019</v>
      </c>
      <c r="N62" s="347" t="s">
        <v>1295</v>
      </c>
      <c r="O62" s="347" t="s">
        <v>1011</v>
      </c>
      <c r="P62" s="347"/>
      <c r="Q62" s="347" t="s">
        <v>1011</v>
      </c>
      <c r="R62" s="347"/>
      <c r="S62" s="347" t="s">
        <v>1112</v>
      </c>
      <c r="T62" s="347" t="s">
        <v>34</v>
      </c>
      <c r="U62" s="347" t="s">
        <v>149</v>
      </c>
      <c r="V62" s="347" t="s">
        <v>1019</v>
      </c>
      <c r="W62" s="347" t="s">
        <v>75</v>
      </c>
      <c r="X62" s="347">
        <f t="shared" si="0"/>
        <v>10</v>
      </c>
    </row>
    <row r="63" spans="1:24" ht="171" x14ac:dyDescent="0.2">
      <c r="A63" s="347" t="s">
        <v>161</v>
      </c>
      <c r="B63" s="347" t="s">
        <v>160</v>
      </c>
      <c r="C63" s="347">
        <v>0</v>
      </c>
      <c r="D63" s="347">
        <v>0</v>
      </c>
      <c r="E63" s="347">
        <v>0</v>
      </c>
      <c r="F63" s="347">
        <v>0</v>
      </c>
      <c r="G63" s="347">
        <v>0</v>
      </c>
      <c r="H63" s="347">
        <v>1</v>
      </c>
      <c r="I63" s="347">
        <v>0</v>
      </c>
      <c r="J63" s="347">
        <v>1</v>
      </c>
      <c r="K63" s="347"/>
      <c r="L63" s="347" t="s">
        <v>148</v>
      </c>
      <c r="M63" s="347" t="s">
        <v>1019</v>
      </c>
      <c r="N63" s="347" t="s">
        <v>1295</v>
      </c>
      <c r="O63" s="347" t="s">
        <v>1011</v>
      </c>
      <c r="P63" s="347"/>
      <c r="Q63" s="347" t="s">
        <v>1011</v>
      </c>
      <c r="R63" s="347"/>
      <c r="S63" s="347" t="s">
        <v>1112</v>
      </c>
      <c r="T63" s="347" t="s">
        <v>34</v>
      </c>
      <c r="U63" s="347" t="s">
        <v>149</v>
      </c>
      <c r="V63" s="347" t="s">
        <v>1019</v>
      </c>
      <c r="W63" s="347" t="s">
        <v>75</v>
      </c>
      <c r="X63" s="347">
        <f t="shared" si="0"/>
        <v>10</v>
      </c>
    </row>
    <row r="64" spans="1:24" ht="228" x14ac:dyDescent="0.2">
      <c r="A64" s="347" t="s">
        <v>162</v>
      </c>
      <c r="B64" s="347" t="s">
        <v>1024</v>
      </c>
      <c r="C64" s="347">
        <v>0</v>
      </c>
      <c r="D64" s="347">
        <v>0</v>
      </c>
      <c r="E64" s="347">
        <v>0</v>
      </c>
      <c r="F64" s="347">
        <v>1</v>
      </c>
      <c r="G64" s="347">
        <v>0</v>
      </c>
      <c r="H64" s="347">
        <v>0</v>
      </c>
      <c r="I64" s="347">
        <v>0</v>
      </c>
      <c r="J64" s="347">
        <v>1</v>
      </c>
      <c r="K64" s="347"/>
      <c r="L64" s="347" t="s">
        <v>163</v>
      </c>
      <c r="M64" s="347" t="s">
        <v>1019</v>
      </c>
      <c r="N64" s="347" t="s">
        <v>1296</v>
      </c>
      <c r="O64" s="347" t="s">
        <v>164</v>
      </c>
      <c r="P64" s="347" t="s">
        <v>165</v>
      </c>
      <c r="Q64" s="347" t="s">
        <v>166</v>
      </c>
      <c r="R64" s="347"/>
      <c r="S64" s="347" t="s">
        <v>1256</v>
      </c>
      <c r="T64" s="347" t="s">
        <v>1297</v>
      </c>
      <c r="U64" s="347" t="s">
        <v>40</v>
      </c>
      <c r="V64" s="347" t="s">
        <v>1019</v>
      </c>
      <c r="W64" s="347" t="s">
        <v>46</v>
      </c>
      <c r="X64" s="347">
        <f t="shared" si="0"/>
        <v>20</v>
      </c>
    </row>
    <row r="65" spans="1:24" ht="242.25" x14ac:dyDescent="0.2">
      <c r="A65" s="347" t="s">
        <v>167</v>
      </c>
      <c r="B65" s="347" t="s">
        <v>1025</v>
      </c>
      <c r="C65" s="347">
        <v>0</v>
      </c>
      <c r="D65" s="347">
        <v>0</v>
      </c>
      <c r="E65" s="347">
        <v>0</v>
      </c>
      <c r="F65" s="347">
        <v>1</v>
      </c>
      <c r="G65" s="347">
        <v>0</v>
      </c>
      <c r="H65" s="347">
        <v>0</v>
      </c>
      <c r="I65" s="347">
        <v>0</v>
      </c>
      <c r="J65" s="347">
        <v>0</v>
      </c>
      <c r="K65" s="347"/>
      <c r="L65" s="347" t="s">
        <v>163</v>
      </c>
      <c r="M65" s="347" t="s">
        <v>1019</v>
      </c>
      <c r="N65" s="347" t="s">
        <v>1296</v>
      </c>
      <c r="O65" s="347" t="s">
        <v>1011</v>
      </c>
      <c r="P65" s="347" t="s">
        <v>177</v>
      </c>
      <c r="Q65" s="347" t="s">
        <v>178</v>
      </c>
      <c r="R65" s="347"/>
      <c r="S65" s="347" t="s">
        <v>1298</v>
      </c>
      <c r="T65" s="347" t="s">
        <v>1299</v>
      </c>
      <c r="U65" s="347" t="s">
        <v>40</v>
      </c>
      <c r="V65" s="347" t="s">
        <v>1019</v>
      </c>
      <c r="W65" s="347" t="s">
        <v>46</v>
      </c>
      <c r="X65" s="347">
        <f t="shared" si="0"/>
        <v>20</v>
      </c>
    </row>
    <row r="66" spans="1:24" ht="213.75" x14ac:dyDescent="0.2">
      <c r="A66" s="347" t="s">
        <v>171</v>
      </c>
      <c r="B66" s="347" t="s">
        <v>1026</v>
      </c>
      <c r="C66" s="347">
        <v>0</v>
      </c>
      <c r="D66" s="347">
        <v>0</v>
      </c>
      <c r="E66" s="347">
        <v>0</v>
      </c>
      <c r="F66" s="347">
        <v>1</v>
      </c>
      <c r="G66" s="347">
        <v>0</v>
      </c>
      <c r="H66" s="347">
        <v>0</v>
      </c>
      <c r="I66" s="347">
        <v>0</v>
      </c>
      <c r="J66" s="347">
        <v>0</v>
      </c>
      <c r="K66" s="347"/>
      <c r="L66" s="347" t="s">
        <v>163</v>
      </c>
      <c r="M66" s="347" t="s">
        <v>1019</v>
      </c>
      <c r="N66" s="347" t="s">
        <v>1296</v>
      </c>
      <c r="O66" s="347" t="s">
        <v>185</v>
      </c>
      <c r="P66" s="347" t="s">
        <v>186</v>
      </c>
      <c r="Q66" s="347" t="s">
        <v>187</v>
      </c>
      <c r="R66" s="347"/>
      <c r="S66" s="347" t="s">
        <v>1444</v>
      </c>
      <c r="T66" s="347" t="s">
        <v>1300</v>
      </c>
      <c r="U66" s="347" t="s">
        <v>40</v>
      </c>
      <c r="V66" s="347" t="s">
        <v>1019</v>
      </c>
      <c r="W66" s="347" t="s">
        <v>46</v>
      </c>
      <c r="X66" s="347">
        <f t="shared" ref="X66:X128" si="1">IF($W66="Critical Importance",20,IF($W66="Minor Importance",5,10))</f>
        <v>20</v>
      </c>
    </row>
    <row r="67" spans="1:24" ht="85.5" x14ac:dyDescent="0.2">
      <c r="A67" s="347" t="s">
        <v>176</v>
      </c>
      <c r="B67" s="347" t="s">
        <v>1769</v>
      </c>
      <c r="C67" s="347">
        <v>0</v>
      </c>
      <c r="D67" s="347">
        <v>0</v>
      </c>
      <c r="E67" s="347">
        <v>0</v>
      </c>
      <c r="F67" s="347">
        <v>1</v>
      </c>
      <c r="G67" s="347">
        <v>0</v>
      </c>
      <c r="H67" s="347">
        <v>0</v>
      </c>
      <c r="I67" s="347">
        <v>0</v>
      </c>
      <c r="J67" s="347">
        <v>1</v>
      </c>
      <c r="K67" s="347"/>
      <c r="L67" s="347" t="s">
        <v>163</v>
      </c>
      <c r="M67" s="347" t="s">
        <v>1019</v>
      </c>
      <c r="N67" s="347" t="s">
        <v>1296</v>
      </c>
      <c r="O67" s="347" t="s">
        <v>1011</v>
      </c>
      <c r="P67" s="347" t="s">
        <v>195</v>
      </c>
      <c r="Q67" s="347" t="s">
        <v>196</v>
      </c>
      <c r="R67" s="347"/>
      <c r="S67" s="347" t="s">
        <v>197</v>
      </c>
      <c r="T67" s="347" t="s">
        <v>1301</v>
      </c>
      <c r="U67" s="347" t="s">
        <v>149</v>
      </c>
      <c r="V67" s="347" t="s">
        <v>1019</v>
      </c>
      <c r="W67" s="347" t="s">
        <v>46</v>
      </c>
      <c r="X67" s="347">
        <f t="shared" si="1"/>
        <v>20</v>
      </c>
    </row>
    <row r="68" spans="1:24" ht="256.5" x14ac:dyDescent="0.2">
      <c r="A68" s="347" t="s">
        <v>179</v>
      </c>
      <c r="B68" s="347" t="s">
        <v>1027</v>
      </c>
      <c r="C68" s="347">
        <v>0</v>
      </c>
      <c r="D68" s="347">
        <v>0</v>
      </c>
      <c r="E68" s="347">
        <v>0</v>
      </c>
      <c r="F68" s="347">
        <v>1</v>
      </c>
      <c r="G68" s="347">
        <v>0</v>
      </c>
      <c r="H68" s="347">
        <v>0</v>
      </c>
      <c r="I68" s="347">
        <v>0</v>
      </c>
      <c r="J68" s="347">
        <v>0</v>
      </c>
      <c r="K68" s="347"/>
      <c r="L68" s="347" t="s">
        <v>163</v>
      </c>
      <c r="M68" s="347" t="s">
        <v>1019</v>
      </c>
      <c r="N68" s="347" t="s">
        <v>1296</v>
      </c>
      <c r="O68" s="347" t="s">
        <v>1011</v>
      </c>
      <c r="P68" s="347" t="s">
        <v>199</v>
      </c>
      <c r="Q68" s="347" t="s">
        <v>200</v>
      </c>
      <c r="R68" s="347"/>
      <c r="S68" s="347" t="s">
        <v>1302</v>
      </c>
      <c r="T68" s="347" t="s">
        <v>1303</v>
      </c>
      <c r="U68" s="347" t="s">
        <v>40</v>
      </c>
      <c r="V68" s="347" t="s">
        <v>1019</v>
      </c>
      <c r="W68" s="347" t="s">
        <v>46</v>
      </c>
      <c r="X68" s="347">
        <f t="shared" si="1"/>
        <v>20</v>
      </c>
    </row>
    <row r="69" spans="1:24" ht="242.25" x14ac:dyDescent="0.2">
      <c r="A69" s="347" t="s">
        <v>184</v>
      </c>
      <c r="B69" s="347" t="s">
        <v>1028</v>
      </c>
      <c r="C69" s="347">
        <v>0</v>
      </c>
      <c r="D69" s="347">
        <v>0</v>
      </c>
      <c r="E69" s="347">
        <v>0</v>
      </c>
      <c r="F69" s="347">
        <v>1</v>
      </c>
      <c r="G69" s="347">
        <v>0</v>
      </c>
      <c r="H69" s="347">
        <v>0</v>
      </c>
      <c r="I69" s="347">
        <v>0</v>
      </c>
      <c r="J69" s="347">
        <v>0</v>
      </c>
      <c r="K69" s="347"/>
      <c r="L69" s="347" t="s">
        <v>163</v>
      </c>
      <c r="M69" s="347" t="s">
        <v>1019</v>
      </c>
      <c r="N69" s="347" t="s">
        <v>1296</v>
      </c>
      <c r="O69" s="347" t="s">
        <v>1011</v>
      </c>
      <c r="P69" s="347" t="s">
        <v>214</v>
      </c>
      <c r="Q69" s="347" t="s">
        <v>215</v>
      </c>
      <c r="R69" s="347"/>
      <c r="S69" s="347" t="s">
        <v>1304</v>
      </c>
      <c r="T69" s="347" t="s">
        <v>1305</v>
      </c>
      <c r="U69" s="347" t="s">
        <v>40</v>
      </c>
      <c r="V69" s="347" t="s">
        <v>1019</v>
      </c>
      <c r="W69" s="347" t="s">
        <v>46</v>
      </c>
      <c r="X69" s="347">
        <f t="shared" si="1"/>
        <v>20</v>
      </c>
    </row>
    <row r="70" spans="1:24" ht="142.5" x14ac:dyDescent="0.2">
      <c r="A70" s="347" t="s">
        <v>188</v>
      </c>
      <c r="B70" s="347" t="s">
        <v>1029</v>
      </c>
      <c r="C70" s="347">
        <v>0</v>
      </c>
      <c r="D70" s="347">
        <v>0</v>
      </c>
      <c r="E70" s="347">
        <v>0</v>
      </c>
      <c r="F70" s="347">
        <v>1</v>
      </c>
      <c r="G70" s="347">
        <v>0</v>
      </c>
      <c r="H70" s="347">
        <v>0</v>
      </c>
      <c r="I70" s="347">
        <v>0</v>
      </c>
      <c r="J70" s="347">
        <v>0</v>
      </c>
      <c r="K70" s="347"/>
      <c r="L70" s="347" t="s">
        <v>163</v>
      </c>
      <c r="M70" s="347" t="s">
        <v>1019</v>
      </c>
      <c r="N70" s="347" t="s">
        <v>1296</v>
      </c>
      <c r="O70" s="347" t="s">
        <v>1011</v>
      </c>
      <c r="P70" s="347" t="s">
        <v>217</v>
      </c>
      <c r="Q70" s="347" t="s">
        <v>218</v>
      </c>
      <c r="R70" s="347"/>
      <c r="S70" s="347" t="s">
        <v>1306</v>
      </c>
      <c r="T70" s="347" t="s">
        <v>1307</v>
      </c>
      <c r="U70" s="347" t="s">
        <v>40</v>
      </c>
      <c r="V70" s="347" t="s">
        <v>1019</v>
      </c>
      <c r="W70" s="347" t="s">
        <v>46</v>
      </c>
      <c r="X70" s="347">
        <f t="shared" si="1"/>
        <v>20</v>
      </c>
    </row>
    <row r="71" spans="1:24" ht="213.75" x14ac:dyDescent="0.2">
      <c r="A71" s="347" t="s">
        <v>194</v>
      </c>
      <c r="B71" s="347" t="s">
        <v>168</v>
      </c>
      <c r="C71" s="347">
        <v>0</v>
      </c>
      <c r="D71" s="347">
        <v>0</v>
      </c>
      <c r="E71" s="347">
        <v>0</v>
      </c>
      <c r="F71" s="347">
        <v>1</v>
      </c>
      <c r="G71" s="347">
        <v>0</v>
      </c>
      <c r="H71" s="347">
        <v>0</v>
      </c>
      <c r="I71" s="347">
        <v>0</v>
      </c>
      <c r="J71" s="347">
        <v>1</v>
      </c>
      <c r="K71" s="347"/>
      <c r="L71" s="347" t="s">
        <v>163</v>
      </c>
      <c r="M71" s="347" t="s">
        <v>1019</v>
      </c>
      <c r="N71" s="347" t="s">
        <v>1296</v>
      </c>
      <c r="O71" s="347" t="s">
        <v>169</v>
      </c>
      <c r="P71" s="347" t="s">
        <v>170</v>
      </c>
      <c r="Q71" s="347" t="s">
        <v>169</v>
      </c>
      <c r="R71" s="347"/>
      <c r="S71" s="347" t="s">
        <v>1308</v>
      </c>
      <c r="T71" s="347" t="s">
        <v>1309</v>
      </c>
      <c r="U71" s="347" t="s">
        <v>40</v>
      </c>
      <c r="V71" s="347" t="s">
        <v>1019</v>
      </c>
      <c r="W71" s="347" t="s">
        <v>75</v>
      </c>
      <c r="X71" s="347">
        <f t="shared" si="1"/>
        <v>10</v>
      </c>
    </row>
    <row r="72" spans="1:24" ht="228" x14ac:dyDescent="0.2">
      <c r="A72" s="347" t="s">
        <v>198</v>
      </c>
      <c r="B72" s="347" t="s">
        <v>172</v>
      </c>
      <c r="C72" s="347">
        <v>0</v>
      </c>
      <c r="D72" s="347">
        <v>0</v>
      </c>
      <c r="E72" s="347">
        <v>0</v>
      </c>
      <c r="F72" s="347">
        <v>1</v>
      </c>
      <c r="G72" s="347">
        <v>0</v>
      </c>
      <c r="H72" s="347">
        <v>0</v>
      </c>
      <c r="I72" s="347">
        <v>0</v>
      </c>
      <c r="J72" s="347">
        <v>0</v>
      </c>
      <c r="K72" s="347"/>
      <c r="L72" s="347" t="s">
        <v>163</v>
      </c>
      <c r="M72" s="347" t="s">
        <v>1019</v>
      </c>
      <c r="N72" s="347" t="s">
        <v>1296</v>
      </c>
      <c r="O72" s="347" t="s">
        <v>1011</v>
      </c>
      <c r="P72" s="347" t="s">
        <v>173</v>
      </c>
      <c r="Q72" s="347" t="s">
        <v>174</v>
      </c>
      <c r="R72" s="347"/>
      <c r="S72" s="347" t="s">
        <v>175</v>
      </c>
      <c r="T72" s="347" t="s">
        <v>1264</v>
      </c>
      <c r="U72" s="347" t="s">
        <v>40</v>
      </c>
      <c r="V72" s="347" t="s">
        <v>1019</v>
      </c>
      <c r="W72" s="347" t="s">
        <v>75</v>
      </c>
      <c r="X72" s="347">
        <f t="shared" si="1"/>
        <v>10</v>
      </c>
    </row>
    <row r="73" spans="1:24" ht="256.5" x14ac:dyDescent="0.2">
      <c r="A73" s="347" t="s">
        <v>201</v>
      </c>
      <c r="B73" s="347" t="s">
        <v>180</v>
      </c>
      <c r="C73" s="347">
        <v>0</v>
      </c>
      <c r="D73" s="347">
        <v>0</v>
      </c>
      <c r="E73" s="347">
        <v>0</v>
      </c>
      <c r="F73" s="347">
        <v>1</v>
      </c>
      <c r="G73" s="347">
        <v>0</v>
      </c>
      <c r="H73" s="347">
        <v>0</v>
      </c>
      <c r="I73" s="347">
        <v>0</v>
      </c>
      <c r="J73" s="347">
        <v>0</v>
      </c>
      <c r="K73" s="347"/>
      <c r="L73" s="347" t="s">
        <v>163</v>
      </c>
      <c r="M73" s="347" t="s">
        <v>1019</v>
      </c>
      <c r="N73" s="347" t="s">
        <v>1296</v>
      </c>
      <c r="O73" s="347" t="s">
        <v>181</v>
      </c>
      <c r="P73" s="347" t="s">
        <v>90</v>
      </c>
      <c r="Q73" s="347" t="s">
        <v>182</v>
      </c>
      <c r="R73" s="347"/>
      <c r="S73" s="347" t="s">
        <v>1310</v>
      </c>
      <c r="T73" s="347" t="s">
        <v>183</v>
      </c>
      <c r="U73" s="347" t="s">
        <v>40</v>
      </c>
      <c r="V73" s="347" t="s">
        <v>1019</v>
      </c>
      <c r="W73" s="347" t="s">
        <v>75</v>
      </c>
      <c r="X73" s="347">
        <f t="shared" si="1"/>
        <v>10</v>
      </c>
    </row>
    <row r="74" spans="1:24" ht="185.25" x14ac:dyDescent="0.2">
      <c r="A74" s="347" t="s">
        <v>205</v>
      </c>
      <c r="B74" s="347" t="s">
        <v>206</v>
      </c>
      <c r="C74" s="347">
        <v>0</v>
      </c>
      <c r="D74" s="347">
        <v>0</v>
      </c>
      <c r="E74" s="347">
        <v>0</v>
      </c>
      <c r="F74" s="347">
        <v>1</v>
      </c>
      <c r="G74" s="347">
        <v>0</v>
      </c>
      <c r="H74" s="347">
        <v>0</v>
      </c>
      <c r="I74" s="347">
        <v>0</v>
      </c>
      <c r="J74" s="347">
        <v>0</v>
      </c>
      <c r="K74" s="347"/>
      <c r="L74" s="347" t="s">
        <v>163</v>
      </c>
      <c r="M74" s="347" t="s">
        <v>1019</v>
      </c>
      <c r="N74" s="347" t="s">
        <v>1296</v>
      </c>
      <c r="O74" s="347" t="s">
        <v>1011</v>
      </c>
      <c r="P74" s="347" t="s">
        <v>207</v>
      </c>
      <c r="Q74" s="347" t="s">
        <v>208</v>
      </c>
      <c r="R74" s="347"/>
      <c r="S74" s="347" t="s">
        <v>1311</v>
      </c>
      <c r="T74" s="347" t="s">
        <v>1312</v>
      </c>
      <c r="U74" s="347" t="s">
        <v>40</v>
      </c>
      <c r="V74" s="347" t="s">
        <v>1019</v>
      </c>
      <c r="W74" s="347" t="s">
        <v>75</v>
      </c>
      <c r="X74" s="347">
        <f t="shared" si="1"/>
        <v>10</v>
      </c>
    </row>
    <row r="75" spans="1:24" ht="185.25" x14ac:dyDescent="0.2">
      <c r="A75" s="347" t="s">
        <v>209</v>
      </c>
      <c r="B75" s="347" t="s">
        <v>210</v>
      </c>
      <c r="C75" s="347">
        <v>0</v>
      </c>
      <c r="D75" s="347">
        <v>0</v>
      </c>
      <c r="E75" s="347">
        <v>0</v>
      </c>
      <c r="F75" s="347">
        <v>1</v>
      </c>
      <c r="G75" s="347">
        <v>0</v>
      </c>
      <c r="H75" s="347">
        <v>0</v>
      </c>
      <c r="I75" s="347">
        <v>0</v>
      </c>
      <c r="J75" s="347">
        <v>0</v>
      </c>
      <c r="K75" s="347"/>
      <c r="L75" s="347" t="s">
        <v>163</v>
      </c>
      <c r="M75" s="347" t="s">
        <v>1019</v>
      </c>
      <c r="N75" s="347" t="s">
        <v>1296</v>
      </c>
      <c r="O75" s="347" t="s">
        <v>1011</v>
      </c>
      <c r="P75" s="347" t="s">
        <v>211</v>
      </c>
      <c r="Q75" s="347" t="s">
        <v>212</v>
      </c>
      <c r="R75" s="347"/>
      <c r="S75" s="347" t="s">
        <v>1311</v>
      </c>
      <c r="T75" s="347" t="s">
        <v>1312</v>
      </c>
      <c r="U75" s="347" t="s">
        <v>40</v>
      </c>
      <c r="V75" s="347" t="s">
        <v>1019</v>
      </c>
      <c r="W75" s="347" t="s">
        <v>75</v>
      </c>
      <c r="X75" s="347">
        <f t="shared" si="1"/>
        <v>10</v>
      </c>
    </row>
    <row r="76" spans="1:24" ht="128.25" x14ac:dyDescent="0.2">
      <c r="A76" s="347" t="s">
        <v>213</v>
      </c>
      <c r="B76" s="347" t="s">
        <v>189</v>
      </c>
      <c r="C76" s="347">
        <v>0</v>
      </c>
      <c r="D76" s="347">
        <v>0</v>
      </c>
      <c r="E76" s="347">
        <v>0</v>
      </c>
      <c r="F76" s="347">
        <v>1</v>
      </c>
      <c r="G76" s="347">
        <v>0</v>
      </c>
      <c r="H76" s="347">
        <v>0</v>
      </c>
      <c r="I76" s="347">
        <v>0</v>
      </c>
      <c r="J76" s="347">
        <v>0</v>
      </c>
      <c r="K76" s="347"/>
      <c r="L76" s="347" t="s">
        <v>163</v>
      </c>
      <c r="M76" s="347" t="s">
        <v>1019</v>
      </c>
      <c r="N76" s="347" t="s">
        <v>1296</v>
      </c>
      <c r="O76" s="347" t="s">
        <v>190</v>
      </c>
      <c r="P76" s="347" t="s">
        <v>191</v>
      </c>
      <c r="Q76" s="347" t="s">
        <v>192</v>
      </c>
      <c r="R76" s="347" t="s">
        <v>1586</v>
      </c>
      <c r="S76" s="347" t="s">
        <v>193</v>
      </c>
      <c r="T76" s="347" t="s">
        <v>1313</v>
      </c>
      <c r="U76" s="347" t="s">
        <v>40</v>
      </c>
      <c r="V76" s="347" t="s">
        <v>1019</v>
      </c>
      <c r="W76" s="347" t="s">
        <v>41</v>
      </c>
      <c r="X76" s="347">
        <f t="shared" si="1"/>
        <v>5</v>
      </c>
    </row>
    <row r="77" spans="1:24" ht="199.5" x14ac:dyDescent="0.2">
      <c r="A77" s="347" t="s">
        <v>216</v>
      </c>
      <c r="B77" s="347" t="s">
        <v>202</v>
      </c>
      <c r="C77" s="347">
        <v>0</v>
      </c>
      <c r="D77" s="347">
        <v>0</v>
      </c>
      <c r="E77" s="347">
        <v>0</v>
      </c>
      <c r="F77" s="347">
        <v>1</v>
      </c>
      <c r="G77" s="347">
        <v>0</v>
      </c>
      <c r="H77" s="347">
        <v>0</v>
      </c>
      <c r="I77" s="347">
        <v>0</v>
      </c>
      <c r="J77" s="347">
        <v>0</v>
      </c>
      <c r="K77" s="347"/>
      <c r="L77" s="347" t="s">
        <v>163</v>
      </c>
      <c r="M77" s="347" t="s">
        <v>1019</v>
      </c>
      <c r="N77" s="347" t="s">
        <v>1296</v>
      </c>
      <c r="O77" s="347" t="s">
        <v>1011</v>
      </c>
      <c r="P77" s="347" t="s">
        <v>203</v>
      </c>
      <c r="Q77" s="347" t="s">
        <v>204</v>
      </c>
      <c r="R77" s="347"/>
      <c r="S77" s="347" t="s">
        <v>1314</v>
      </c>
      <c r="T77" s="347" t="s">
        <v>1315</v>
      </c>
      <c r="U77" s="347" t="s">
        <v>40</v>
      </c>
      <c r="V77" s="347" t="s">
        <v>1019</v>
      </c>
      <c r="W77" s="347" t="s">
        <v>41</v>
      </c>
      <c r="X77" s="347">
        <f t="shared" si="1"/>
        <v>5</v>
      </c>
    </row>
    <row r="78" spans="1:24" ht="185.25" x14ac:dyDescent="0.2">
      <c r="A78" s="347" t="s">
        <v>219</v>
      </c>
      <c r="B78" s="347" t="s">
        <v>1030</v>
      </c>
      <c r="C78" s="347">
        <v>0</v>
      </c>
      <c r="D78" s="347">
        <v>0</v>
      </c>
      <c r="E78" s="347">
        <v>1</v>
      </c>
      <c r="F78" s="347">
        <v>0</v>
      </c>
      <c r="G78" s="347">
        <v>0</v>
      </c>
      <c r="H78" s="347">
        <v>0</v>
      </c>
      <c r="I78" s="347">
        <v>0</v>
      </c>
      <c r="J78" s="347">
        <v>1</v>
      </c>
      <c r="K78" s="347"/>
      <c r="L78" s="347" t="s">
        <v>4</v>
      </c>
      <c r="M78" s="347" t="s">
        <v>1019</v>
      </c>
      <c r="N78" s="347" t="s">
        <v>1296</v>
      </c>
      <c r="O78" s="347" t="s">
        <v>1113</v>
      </c>
      <c r="P78" s="347" t="s">
        <v>220</v>
      </c>
      <c r="Q78" s="347" t="s">
        <v>221</v>
      </c>
      <c r="R78" s="347"/>
      <c r="S78" s="347" t="s">
        <v>222</v>
      </c>
      <c r="T78" s="347" t="s">
        <v>223</v>
      </c>
      <c r="U78" s="347" t="s">
        <v>40</v>
      </c>
      <c r="V78" s="347" t="s">
        <v>1019</v>
      </c>
      <c r="W78" s="347" t="s">
        <v>46</v>
      </c>
      <c r="X78" s="347">
        <f t="shared" si="1"/>
        <v>20</v>
      </c>
    </row>
    <row r="79" spans="1:24" ht="185.25" x14ac:dyDescent="0.2">
      <c r="A79" s="347" t="s">
        <v>224</v>
      </c>
      <c r="B79" s="347" t="s">
        <v>1590</v>
      </c>
      <c r="C79" s="347">
        <v>0</v>
      </c>
      <c r="D79" s="347">
        <v>0</v>
      </c>
      <c r="E79" s="347">
        <v>1</v>
      </c>
      <c r="F79" s="347">
        <v>0</v>
      </c>
      <c r="G79" s="347">
        <v>0</v>
      </c>
      <c r="H79" s="347">
        <v>0</v>
      </c>
      <c r="I79" s="347">
        <v>0</v>
      </c>
      <c r="J79" s="347">
        <v>1</v>
      </c>
      <c r="K79" s="347"/>
      <c r="L79" s="347" t="s">
        <v>4</v>
      </c>
      <c r="M79" s="347" t="s">
        <v>1019</v>
      </c>
      <c r="N79" s="347" t="s">
        <v>1296</v>
      </c>
      <c r="O79" s="347" t="s">
        <v>1011</v>
      </c>
      <c r="P79" s="347" t="s">
        <v>225</v>
      </c>
      <c r="Q79" s="347" t="s">
        <v>226</v>
      </c>
      <c r="R79" s="347"/>
      <c r="S79" s="347" t="s">
        <v>1597</v>
      </c>
      <c r="T79" s="347" t="s">
        <v>227</v>
      </c>
      <c r="U79" s="347" t="s">
        <v>40</v>
      </c>
      <c r="V79" s="347" t="s">
        <v>1019</v>
      </c>
      <c r="W79" s="347" t="s">
        <v>46</v>
      </c>
      <c r="X79" s="347">
        <f t="shared" si="1"/>
        <v>20</v>
      </c>
    </row>
    <row r="80" spans="1:24" ht="156.75" x14ac:dyDescent="0.2">
      <c r="A80" s="347" t="s">
        <v>228</v>
      </c>
      <c r="B80" s="347" t="s">
        <v>1591</v>
      </c>
      <c r="C80" s="347">
        <v>0</v>
      </c>
      <c r="D80" s="347">
        <v>0</v>
      </c>
      <c r="E80" s="347">
        <v>1</v>
      </c>
      <c r="F80" s="347">
        <v>0</v>
      </c>
      <c r="G80" s="347">
        <v>0</v>
      </c>
      <c r="H80" s="347">
        <v>0</v>
      </c>
      <c r="I80" s="347">
        <v>0</v>
      </c>
      <c r="J80" s="347">
        <v>0</v>
      </c>
      <c r="K80" s="347"/>
      <c r="L80" s="347" t="s">
        <v>4</v>
      </c>
      <c r="M80" s="347" t="s">
        <v>1019</v>
      </c>
      <c r="N80" s="347" t="s">
        <v>1296</v>
      </c>
      <c r="O80" s="347" t="s">
        <v>1011</v>
      </c>
      <c r="P80" s="347" t="s">
        <v>230</v>
      </c>
      <c r="Q80" s="347" t="s">
        <v>231</v>
      </c>
      <c r="R80" s="347"/>
      <c r="S80" s="347" t="s">
        <v>1598</v>
      </c>
      <c r="T80" s="347" t="s">
        <v>232</v>
      </c>
      <c r="U80" s="347" t="s">
        <v>40</v>
      </c>
      <c r="V80" s="347" t="s">
        <v>1019</v>
      </c>
      <c r="W80" s="347" t="s">
        <v>46</v>
      </c>
      <c r="X80" s="347">
        <f t="shared" si="1"/>
        <v>20</v>
      </c>
    </row>
    <row r="81" spans="1:24" ht="156.75" x14ac:dyDescent="0.2">
      <c r="A81" s="347" t="s">
        <v>229</v>
      </c>
      <c r="B81" s="347" t="s">
        <v>1592</v>
      </c>
      <c r="C81" s="347">
        <v>0</v>
      </c>
      <c r="D81" s="347">
        <v>0</v>
      </c>
      <c r="E81" s="347">
        <v>1</v>
      </c>
      <c r="F81" s="347">
        <v>0</v>
      </c>
      <c r="G81" s="347">
        <v>0</v>
      </c>
      <c r="H81" s="347">
        <v>0</v>
      </c>
      <c r="I81" s="347">
        <v>0</v>
      </c>
      <c r="J81" s="347">
        <v>0</v>
      </c>
      <c r="K81" s="347"/>
      <c r="L81" s="347" t="s">
        <v>4</v>
      </c>
      <c r="M81" s="347" t="s">
        <v>1019</v>
      </c>
      <c r="N81" s="347" t="s">
        <v>1296</v>
      </c>
      <c r="O81" s="347" t="s">
        <v>1221</v>
      </c>
      <c r="P81" s="347" t="s">
        <v>1011</v>
      </c>
      <c r="Q81" s="347" t="s">
        <v>234</v>
      </c>
      <c r="R81" s="347"/>
      <c r="S81" s="347" t="s">
        <v>1598</v>
      </c>
      <c r="T81" s="347" t="s">
        <v>235</v>
      </c>
      <c r="U81" s="347" t="s">
        <v>149</v>
      </c>
      <c r="V81" s="347" t="s">
        <v>1019</v>
      </c>
      <c r="W81" s="347" t="s">
        <v>46</v>
      </c>
      <c r="X81" s="347">
        <f t="shared" si="1"/>
        <v>20</v>
      </c>
    </row>
    <row r="82" spans="1:24" ht="171" x14ac:dyDescent="0.2">
      <c r="A82" s="347" t="s">
        <v>233</v>
      </c>
      <c r="B82" s="347" t="s">
        <v>1593</v>
      </c>
      <c r="C82" s="347">
        <v>0</v>
      </c>
      <c r="D82" s="347">
        <v>0</v>
      </c>
      <c r="E82" s="347">
        <v>1</v>
      </c>
      <c r="F82" s="347">
        <v>0</v>
      </c>
      <c r="G82" s="347">
        <v>0</v>
      </c>
      <c r="H82" s="347">
        <v>0</v>
      </c>
      <c r="I82" s="347">
        <v>0</v>
      </c>
      <c r="J82" s="347">
        <v>0</v>
      </c>
      <c r="K82" s="347"/>
      <c r="L82" s="347" t="s">
        <v>4</v>
      </c>
      <c r="M82" s="347" t="s">
        <v>1019</v>
      </c>
      <c r="N82" s="347" t="s">
        <v>1296</v>
      </c>
      <c r="O82" s="347" t="s">
        <v>1011</v>
      </c>
      <c r="P82" s="347" t="s">
        <v>237</v>
      </c>
      <c r="Q82" s="347" t="s">
        <v>238</v>
      </c>
      <c r="R82" s="347"/>
      <c r="S82" s="347" t="s">
        <v>1599</v>
      </c>
      <c r="T82" s="347" t="s">
        <v>1316</v>
      </c>
      <c r="U82" s="347" t="s">
        <v>40</v>
      </c>
      <c r="V82" s="347" t="s">
        <v>1019</v>
      </c>
      <c r="W82" s="347" t="s">
        <v>46</v>
      </c>
      <c r="X82" s="347">
        <f t="shared" si="1"/>
        <v>20</v>
      </c>
    </row>
    <row r="83" spans="1:24" ht="156.75" x14ac:dyDescent="0.2">
      <c r="A83" s="347" t="s">
        <v>236</v>
      </c>
      <c r="B83" s="347" t="s">
        <v>1031</v>
      </c>
      <c r="C83" s="347">
        <v>0</v>
      </c>
      <c r="D83" s="347">
        <v>0</v>
      </c>
      <c r="E83" s="347">
        <v>1</v>
      </c>
      <c r="F83" s="347">
        <v>0</v>
      </c>
      <c r="G83" s="347">
        <v>0</v>
      </c>
      <c r="H83" s="347">
        <v>0</v>
      </c>
      <c r="I83" s="347">
        <v>0</v>
      </c>
      <c r="J83" s="347">
        <v>0</v>
      </c>
      <c r="K83" s="347"/>
      <c r="L83" s="347" t="s">
        <v>4</v>
      </c>
      <c r="M83" s="347" t="s">
        <v>1019</v>
      </c>
      <c r="N83" s="347" t="s">
        <v>1296</v>
      </c>
      <c r="O83" s="347" t="s">
        <v>1011</v>
      </c>
      <c r="P83" s="347" t="s">
        <v>240</v>
      </c>
      <c r="Q83" s="347" t="s">
        <v>241</v>
      </c>
      <c r="R83" s="347"/>
      <c r="S83" s="347" t="s">
        <v>1317</v>
      </c>
      <c r="T83" s="347" t="s">
        <v>1318</v>
      </c>
      <c r="U83" s="347" t="s">
        <v>40</v>
      </c>
      <c r="V83" s="347" t="s">
        <v>1019</v>
      </c>
      <c r="W83" s="347" t="s">
        <v>46</v>
      </c>
      <c r="X83" s="347">
        <f t="shared" si="1"/>
        <v>20</v>
      </c>
    </row>
    <row r="84" spans="1:24" ht="156.75" x14ac:dyDescent="0.2">
      <c r="A84" s="347" t="s">
        <v>239</v>
      </c>
      <c r="B84" s="347" t="s">
        <v>1222</v>
      </c>
      <c r="C84" s="347">
        <v>0</v>
      </c>
      <c r="D84" s="347">
        <v>0</v>
      </c>
      <c r="E84" s="347">
        <v>1</v>
      </c>
      <c r="F84" s="347">
        <v>0</v>
      </c>
      <c r="G84" s="347">
        <v>0</v>
      </c>
      <c r="H84" s="347">
        <v>0</v>
      </c>
      <c r="I84" s="347">
        <v>0</v>
      </c>
      <c r="J84" s="347">
        <v>0</v>
      </c>
      <c r="K84" s="347"/>
      <c r="L84" s="347" t="s">
        <v>4</v>
      </c>
      <c r="M84" s="347" t="s">
        <v>1019</v>
      </c>
      <c r="N84" s="347" t="s">
        <v>1296</v>
      </c>
      <c r="O84" s="347" t="s">
        <v>1011</v>
      </c>
      <c r="P84" s="347" t="s">
        <v>1011</v>
      </c>
      <c r="Q84" s="347" t="s">
        <v>1223</v>
      </c>
      <c r="R84" s="347"/>
      <c r="S84" s="347" t="s">
        <v>1319</v>
      </c>
      <c r="T84" s="347" t="s">
        <v>1320</v>
      </c>
      <c r="U84" s="347" t="s">
        <v>149</v>
      </c>
      <c r="V84" s="347" t="s">
        <v>1019</v>
      </c>
      <c r="W84" s="347" t="s">
        <v>46</v>
      </c>
      <c r="X84" s="347">
        <f t="shared" si="1"/>
        <v>20</v>
      </c>
    </row>
    <row r="85" spans="1:24" ht="85.5" x14ac:dyDescent="0.2">
      <c r="A85" s="347" t="s">
        <v>242</v>
      </c>
      <c r="B85" s="347" t="s">
        <v>1032</v>
      </c>
      <c r="C85" s="347">
        <v>0</v>
      </c>
      <c r="D85" s="347">
        <v>0</v>
      </c>
      <c r="E85" s="347">
        <v>1</v>
      </c>
      <c r="F85" s="347">
        <v>0</v>
      </c>
      <c r="G85" s="347">
        <v>0</v>
      </c>
      <c r="H85" s="347">
        <v>0</v>
      </c>
      <c r="I85" s="347">
        <v>0</v>
      </c>
      <c r="J85" s="347">
        <v>0</v>
      </c>
      <c r="K85" s="347"/>
      <c r="L85" s="347" t="s">
        <v>4</v>
      </c>
      <c r="M85" s="347" t="s">
        <v>1019</v>
      </c>
      <c r="N85" s="347" t="s">
        <v>1296</v>
      </c>
      <c r="O85" s="347" t="s">
        <v>1011</v>
      </c>
      <c r="P85" s="347" t="s">
        <v>1011</v>
      </c>
      <c r="Q85" s="347" t="s">
        <v>265</v>
      </c>
      <c r="R85" s="347"/>
      <c r="S85" s="347" t="s">
        <v>266</v>
      </c>
      <c r="T85" s="347" t="s">
        <v>267</v>
      </c>
      <c r="U85" s="347" t="s">
        <v>149</v>
      </c>
      <c r="V85" s="347" t="s">
        <v>1019</v>
      </c>
      <c r="W85" s="347" t="s">
        <v>46</v>
      </c>
      <c r="X85" s="347">
        <f t="shared" si="1"/>
        <v>20</v>
      </c>
    </row>
    <row r="86" spans="1:24" ht="199.5" x14ac:dyDescent="0.2">
      <c r="A86" s="347" t="s">
        <v>245</v>
      </c>
      <c r="B86" s="347" t="s">
        <v>1033</v>
      </c>
      <c r="C86" s="347">
        <v>0</v>
      </c>
      <c r="D86" s="347">
        <v>0</v>
      </c>
      <c r="E86" s="347">
        <v>1</v>
      </c>
      <c r="F86" s="347">
        <v>0</v>
      </c>
      <c r="G86" s="347">
        <v>0</v>
      </c>
      <c r="H86" s="347">
        <v>0</v>
      </c>
      <c r="I86" s="347">
        <v>0</v>
      </c>
      <c r="J86" s="347">
        <v>1</v>
      </c>
      <c r="K86" s="347"/>
      <c r="L86" s="347" t="s">
        <v>4</v>
      </c>
      <c r="M86" s="347" t="s">
        <v>1019</v>
      </c>
      <c r="N86" s="347" t="s">
        <v>1296</v>
      </c>
      <c r="O86" s="347" t="s">
        <v>1011</v>
      </c>
      <c r="P86" s="347" t="s">
        <v>272</v>
      </c>
      <c r="Q86" s="347" t="s">
        <v>1011</v>
      </c>
      <c r="R86" s="347"/>
      <c r="S86" s="347" t="s">
        <v>273</v>
      </c>
      <c r="T86" s="347" t="s">
        <v>1321</v>
      </c>
      <c r="U86" s="347" t="s">
        <v>40</v>
      </c>
      <c r="V86" s="347" t="s">
        <v>1019</v>
      </c>
      <c r="W86" s="347" t="s">
        <v>46</v>
      </c>
      <c r="X86" s="347">
        <f t="shared" si="1"/>
        <v>20</v>
      </c>
    </row>
    <row r="87" spans="1:24" ht="242.25" x14ac:dyDescent="0.2">
      <c r="A87" s="347" t="s">
        <v>248</v>
      </c>
      <c r="B87" s="347" t="s">
        <v>1114</v>
      </c>
      <c r="C87" s="347">
        <v>0</v>
      </c>
      <c r="D87" s="347">
        <v>0</v>
      </c>
      <c r="E87" s="347">
        <v>1</v>
      </c>
      <c r="F87" s="347">
        <v>0</v>
      </c>
      <c r="G87" s="347">
        <v>0</v>
      </c>
      <c r="H87" s="347">
        <v>0</v>
      </c>
      <c r="I87" s="347">
        <v>0</v>
      </c>
      <c r="J87" s="347">
        <v>0</v>
      </c>
      <c r="K87" s="347"/>
      <c r="L87" s="347" t="s">
        <v>1040</v>
      </c>
      <c r="M87" s="347" t="s">
        <v>1019</v>
      </c>
      <c r="N87" s="347" t="s">
        <v>1296</v>
      </c>
      <c r="O87" s="347" t="s">
        <v>1481</v>
      </c>
      <c r="P87" s="347" t="s">
        <v>1481</v>
      </c>
      <c r="Q87" s="347" t="s">
        <v>1481</v>
      </c>
      <c r="R87" s="347"/>
      <c r="S87" s="347" t="s">
        <v>275</v>
      </c>
      <c r="T87" s="347" t="s">
        <v>1321</v>
      </c>
      <c r="U87" s="347" t="s">
        <v>1040</v>
      </c>
      <c r="V87" s="347" t="s">
        <v>1019</v>
      </c>
      <c r="W87" s="347"/>
      <c r="X87" s="347"/>
    </row>
    <row r="88" spans="1:24" ht="199.5" x14ac:dyDescent="0.2">
      <c r="A88" s="347" t="s">
        <v>252</v>
      </c>
      <c r="B88" s="347" t="s">
        <v>1480</v>
      </c>
      <c r="C88" s="347">
        <v>0</v>
      </c>
      <c r="D88" s="347">
        <v>0</v>
      </c>
      <c r="E88" s="347">
        <v>1</v>
      </c>
      <c r="F88" s="347">
        <v>0</v>
      </c>
      <c r="G88" s="347">
        <v>0</v>
      </c>
      <c r="H88" s="347">
        <v>0</v>
      </c>
      <c r="I88" s="347">
        <v>0</v>
      </c>
      <c r="J88" s="347">
        <v>1</v>
      </c>
      <c r="K88" s="347"/>
      <c r="L88" s="347" t="s">
        <v>4</v>
      </c>
      <c r="M88" s="347" t="s">
        <v>1019</v>
      </c>
      <c r="N88" s="347" t="s">
        <v>1296</v>
      </c>
      <c r="O88" s="347" t="s">
        <v>1529</v>
      </c>
      <c r="P88" s="347" t="s">
        <v>1529</v>
      </c>
      <c r="Q88" s="347" t="s">
        <v>1529</v>
      </c>
      <c r="R88" s="347"/>
      <c r="S88" s="347" t="s">
        <v>1322</v>
      </c>
      <c r="T88" s="347" t="s">
        <v>276</v>
      </c>
      <c r="U88" s="347" t="s">
        <v>40</v>
      </c>
      <c r="V88" s="347" t="s">
        <v>1019</v>
      </c>
      <c r="W88" s="347" t="s">
        <v>46</v>
      </c>
      <c r="X88" s="347">
        <f t="shared" si="1"/>
        <v>20</v>
      </c>
    </row>
    <row r="89" spans="1:24" ht="256.5" x14ac:dyDescent="0.2">
      <c r="A89" s="347" t="s">
        <v>256</v>
      </c>
      <c r="B89" s="347" t="s">
        <v>1594</v>
      </c>
      <c r="C89" s="347">
        <v>0</v>
      </c>
      <c r="D89" s="347">
        <v>0</v>
      </c>
      <c r="E89" s="347">
        <v>1</v>
      </c>
      <c r="F89" s="347">
        <v>0</v>
      </c>
      <c r="G89" s="347">
        <v>0</v>
      </c>
      <c r="H89" s="347">
        <v>0</v>
      </c>
      <c r="I89" s="347">
        <v>0</v>
      </c>
      <c r="J89" s="347">
        <v>0</v>
      </c>
      <c r="K89" s="347"/>
      <c r="L89" s="347" t="s">
        <v>4</v>
      </c>
      <c r="M89" s="347" t="s">
        <v>1019</v>
      </c>
      <c r="N89" s="347" t="s">
        <v>1296</v>
      </c>
      <c r="O89" s="347" t="s">
        <v>1011</v>
      </c>
      <c r="P89" s="347" t="s">
        <v>243</v>
      </c>
      <c r="Q89" s="347" t="s">
        <v>244</v>
      </c>
      <c r="R89" s="347"/>
      <c r="S89" s="347" t="s">
        <v>1600</v>
      </c>
      <c r="T89" s="347" t="s">
        <v>1323</v>
      </c>
      <c r="U89" s="347" t="s">
        <v>40</v>
      </c>
      <c r="V89" s="347" t="s">
        <v>1019</v>
      </c>
      <c r="W89" s="347" t="s">
        <v>75</v>
      </c>
      <c r="X89" s="347">
        <f t="shared" si="1"/>
        <v>10</v>
      </c>
    </row>
    <row r="90" spans="1:24" ht="128.25" x14ac:dyDescent="0.2">
      <c r="A90" s="347" t="s">
        <v>258</v>
      </c>
      <c r="B90" s="347" t="s">
        <v>253</v>
      </c>
      <c r="C90" s="347">
        <v>0</v>
      </c>
      <c r="D90" s="347">
        <v>0</v>
      </c>
      <c r="E90" s="347">
        <v>1</v>
      </c>
      <c r="F90" s="347">
        <v>0</v>
      </c>
      <c r="G90" s="347">
        <v>0</v>
      </c>
      <c r="H90" s="347">
        <v>0</v>
      </c>
      <c r="I90" s="347">
        <v>0</v>
      </c>
      <c r="J90" s="347">
        <v>0</v>
      </c>
      <c r="K90" s="347"/>
      <c r="L90" s="347" t="s">
        <v>4</v>
      </c>
      <c r="M90" s="347" t="s">
        <v>1019</v>
      </c>
      <c r="N90" s="347" t="s">
        <v>1296</v>
      </c>
      <c r="O90" s="347" t="s">
        <v>1011</v>
      </c>
      <c r="P90" s="347" t="s">
        <v>254</v>
      </c>
      <c r="Q90" s="347" t="s">
        <v>1011</v>
      </c>
      <c r="R90" s="347"/>
      <c r="S90" s="347" t="s">
        <v>1324</v>
      </c>
      <c r="T90" s="347" t="s">
        <v>255</v>
      </c>
      <c r="U90" s="347" t="s">
        <v>40</v>
      </c>
      <c r="V90" s="347" t="s">
        <v>1019</v>
      </c>
      <c r="W90" s="347" t="s">
        <v>75</v>
      </c>
      <c r="X90" s="347">
        <f t="shared" si="1"/>
        <v>10</v>
      </c>
    </row>
    <row r="91" spans="1:24" ht="242.25" x14ac:dyDescent="0.2">
      <c r="A91" s="347" t="s">
        <v>263</v>
      </c>
      <c r="B91" s="347" t="s">
        <v>1595</v>
      </c>
      <c r="C91" s="347">
        <v>0</v>
      </c>
      <c r="D91" s="347">
        <v>0</v>
      </c>
      <c r="E91" s="347">
        <v>1</v>
      </c>
      <c r="F91" s="347">
        <v>0</v>
      </c>
      <c r="G91" s="347">
        <v>0</v>
      </c>
      <c r="H91" s="347">
        <v>0</v>
      </c>
      <c r="I91" s="347">
        <v>0</v>
      </c>
      <c r="J91" s="347">
        <v>0</v>
      </c>
      <c r="K91" s="347"/>
      <c r="L91" s="347" t="s">
        <v>4</v>
      </c>
      <c r="M91" s="347" t="s">
        <v>1019</v>
      </c>
      <c r="N91" s="347" t="s">
        <v>1296</v>
      </c>
      <c r="O91" s="347" t="s">
        <v>1011</v>
      </c>
      <c r="P91" s="347" t="s">
        <v>269</v>
      </c>
      <c r="Q91" s="347" t="s">
        <v>270</v>
      </c>
      <c r="R91" s="347"/>
      <c r="S91" s="347" t="s">
        <v>1601</v>
      </c>
      <c r="T91" s="347" t="s">
        <v>1115</v>
      </c>
      <c r="U91" s="347" t="s">
        <v>40</v>
      </c>
      <c r="V91" s="347" t="s">
        <v>1019</v>
      </c>
      <c r="W91" s="347" t="s">
        <v>75</v>
      </c>
      <c r="X91" s="347">
        <f t="shared" si="1"/>
        <v>10</v>
      </c>
    </row>
    <row r="92" spans="1:24" ht="185.25" x14ac:dyDescent="0.2">
      <c r="A92" s="347" t="s">
        <v>264</v>
      </c>
      <c r="B92" s="347" t="s">
        <v>1116</v>
      </c>
      <c r="C92" s="347">
        <v>0</v>
      </c>
      <c r="D92" s="347">
        <v>0</v>
      </c>
      <c r="E92" s="347">
        <v>1</v>
      </c>
      <c r="F92" s="347">
        <v>0</v>
      </c>
      <c r="G92" s="347">
        <v>0</v>
      </c>
      <c r="H92" s="347">
        <v>0</v>
      </c>
      <c r="I92" s="347">
        <v>0</v>
      </c>
      <c r="J92" s="347">
        <v>0</v>
      </c>
      <c r="K92" s="347"/>
      <c r="L92" s="347" t="s">
        <v>4</v>
      </c>
      <c r="M92" s="347" t="s">
        <v>1019</v>
      </c>
      <c r="N92" s="347" t="s">
        <v>1296</v>
      </c>
      <c r="O92" s="347" t="s">
        <v>1117</v>
      </c>
      <c r="P92" s="347" t="s">
        <v>246</v>
      </c>
      <c r="Q92" s="347" t="s">
        <v>247</v>
      </c>
      <c r="R92" s="347"/>
      <c r="S92" s="347" t="s">
        <v>222</v>
      </c>
      <c r="T92" s="347" t="s">
        <v>223</v>
      </c>
      <c r="U92" s="347" t="s">
        <v>40</v>
      </c>
      <c r="V92" s="347" t="s">
        <v>1019</v>
      </c>
      <c r="W92" s="347" t="s">
        <v>41</v>
      </c>
      <c r="X92" s="347">
        <f t="shared" si="1"/>
        <v>5</v>
      </c>
    </row>
    <row r="93" spans="1:24" ht="128.25" x14ac:dyDescent="0.2">
      <c r="A93" s="347" t="s">
        <v>268</v>
      </c>
      <c r="B93" s="347" t="s">
        <v>249</v>
      </c>
      <c r="C93" s="347">
        <v>0</v>
      </c>
      <c r="D93" s="347">
        <v>0</v>
      </c>
      <c r="E93" s="347">
        <v>1</v>
      </c>
      <c r="F93" s="347">
        <v>0</v>
      </c>
      <c r="G93" s="347">
        <v>0</v>
      </c>
      <c r="H93" s="347">
        <v>0</v>
      </c>
      <c r="I93" s="347">
        <v>0</v>
      </c>
      <c r="J93" s="347">
        <v>0</v>
      </c>
      <c r="K93" s="347"/>
      <c r="L93" s="347" t="s">
        <v>4</v>
      </c>
      <c r="M93" s="347" t="s">
        <v>1019</v>
      </c>
      <c r="N93" s="347" t="s">
        <v>1296</v>
      </c>
      <c r="O93" s="347" t="s">
        <v>1011</v>
      </c>
      <c r="P93" s="347" t="s">
        <v>250</v>
      </c>
      <c r="Q93" s="347" t="s">
        <v>1011</v>
      </c>
      <c r="R93" s="347"/>
      <c r="S93" s="347" t="s">
        <v>1324</v>
      </c>
      <c r="T93" s="347" t="s">
        <v>251</v>
      </c>
      <c r="U93" s="347" t="s">
        <v>40</v>
      </c>
      <c r="V93" s="347" t="s">
        <v>1019</v>
      </c>
      <c r="W93" s="347" t="s">
        <v>41</v>
      </c>
      <c r="X93" s="347">
        <f t="shared" si="1"/>
        <v>5</v>
      </c>
    </row>
    <row r="94" spans="1:24" ht="185.25" x14ac:dyDescent="0.2">
      <c r="A94" s="347" t="s">
        <v>271</v>
      </c>
      <c r="B94" s="347" t="s">
        <v>1596</v>
      </c>
      <c r="C94" s="347">
        <v>0</v>
      </c>
      <c r="D94" s="347">
        <v>0</v>
      </c>
      <c r="E94" s="347">
        <v>1</v>
      </c>
      <c r="F94" s="347">
        <v>0</v>
      </c>
      <c r="G94" s="347">
        <v>0</v>
      </c>
      <c r="H94" s="347">
        <v>0</v>
      </c>
      <c r="I94" s="347">
        <v>0</v>
      </c>
      <c r="J94" s="347">
        <v>1</v>
      </c>
      <c r="K94" s="347"/>
      <c r="L94" s="347" t="s">
        <v>4</v>
      </c>
      <c r="M94" s="347" t="s">
        <v>1019</v>
      </c>
      <c r="N94" s="347" t="s">
        <v>1296</v>
      </c>
      <c r="O94" s="347" t="s">
        <v>1011</v>
      </c>
      <c r="P94" s="347" t="s">
        <v>1118</v>
      </c>
      <c r="Q94" s="347" t="s">
        <v>1224</v>
      </c>
      <c r="R94" s="347"/>
      <c r="S94" s="347" t="s">
        <v>1602</v>
      </c>
      <c r="T94" s="347" t="s">
        <v>1325</v>
      </c>
      <c r="U94" s="347" t="s">
        <v>40</v>
      </c>
      <c r="V94" s="347" t="s">
        <v>1019</v>
      </c>
      <c r="W94" s="347" t="s">
        <v>41</v>
      </c>
      <c r="X94" s="347">
        <f t="shared" si="1"/>
        <v>5</v>
      </c>
    </row>
    <row r="95" spans="1:24" ht="71.25" x14ac:dyDescent="0.2">
      <c r="A95" s="347" t="s">
        <v>274</v>
      </c>
      <c r="B95" s="347" t="s">
        <v>1119</v>
      </c>
      <c r="C95" s="347">
        <v>0</v>
      </c>
      <c r="D95" s="347">
        <v>0</v>
      </c>
      <c r="E95" s="347">
        <v>1</v>
      </c>
      <c r="F95" s="347">
        <v>0</v>
      </c>
      <c r="G95" s="347">
        <v>0</v>
      </c>
      <c r="H95" s="347">
        <v>0</v>
      </c>
      <c r="I95" s="347">
        <v>0</v>
      </c>
      <c r="J95" s="347">
        <v>1</v>
      </c>
      <c r="K95" s="347"/>
      <c r="L95" s="347" t="s">
        <v>4</v>
      </c>
      <c r="M95" s="347" t="s">
        <v>1019</v>
      </c>
      <c r="N95" s="347" t="s">
        <v>1296</v>
      </c>
      <c r="O95" s="347" t="s">
        <v>1011</v>
      </c>
      <c r="P95" s="347" t="s">
        <v>259</v>
      </c>
      <c r="Q95" s="347" t="s">
        <v>260</v>
      </c>
      <c r="R95" s="347"/>
      <c r="S95" s="347" t="s">
        <v>261</v>
      </c>
      <c r="T95" s="347" t="s">
        <v>262</v>
      </c>
      <c r="U95" s="347" t="s">
        <v>40</v>
      </c>
      <c r="V95" s="347" t="s">
        <v>1019</v>
      </c>
      <c r="W95" s="347" t="s">
        <v>41</v>
      </c>
      <c r="X95" s="347">
        <f t="shared" si="1"/>
        <v>5</v>
      </c>
    </row>
    <row r="96" spans="1:24" ht="128.25" x14ac:dyDescent="0.2">
      <c r="A96" s="226" t="s">
        <v>277</v>
      </c>
      <c r="B96" s="347" t="s">
        <v>1034</v>
      </c>
      <c r="C96" s="347">
        <v>0</v>
      </c>
      <c r="D96" s="347">
        <v>1</v>
      </c>
      <c r="E96" s="347">
        <v>0</v>
      </c>
      <c r="F96" s="347">
        <v>0</v>
      </c>
      <c r="G96" s="347">
        <v>0</v>
      </c>
      <c r="H96" s="347">
        <v>0</v>
      </c>
      <c r="I96" s="347">
        <v>0</v>
      </c>
      <c r="J96" s="347">
        <v>0</v>
      </c>
      <c r="K96" s="347"/>
      <c r="L96" s="347" t="s">
        <v>131</v>
      </c>
      <c r="M96" s="347" t="s">
        <v>1019</v>
      </c>
      <c r="N96" s="347" t="s">
        <v>1011</v>
      </c>
      <c r="O96" s="347" t="s">
        <v>1011</v>
      </c>
      <c r="P96" s="347" t="s">
        <v>287</v>
      </c>
      <c r="Q96" s="347" t="s">
        <v>288</v>
      </c>
      <c r="R96" s="347"/>
      <c r="S96" s="347" t="s">
        <v>289</v>
      </c>
      <c r="T96" s="347" t="s">
        <v>1326</v>
      </c>
      <c r="U96" s="347" t="s">
        <v>40</v>
      </c>
      <c r="V96" s="347" t="s">
        <v>1019</v>
      </c>
      <c r="W96" s="347" t="s">
        <v>46</v>
      </c>
      <c r="X96" s="347">
        <f t="shared" si="1"/>
        <v>20</v>
      </c>
    </row>
    <row r="97" spans="1:24" ht="185.25" x14ac:dyDescent="0.2">
      <c r="A97" s="226" t="s">
        <v>282</v>
      </c>
      <c r="B97" s="347" t="s">
        <v>1035</v>
      </c>
      <c r="C97" s="347">
        <v>0</v>
      </c>
      <c r="D97" s="347">
        <v>1</v>
      </c>
      <c r="E97" s="347">
        <v>0</v>
      </c>
      <c r="F97" s="347">
        <v>0</v>
      </c>
      <c r="G97" s="347">
        <v>0</v>
      </c>
      <c r="H97" s="347">
        <v>0</v>
      </c>
      <c r="I97" s="347">
        <v>0</v>
      </c>
      <c r="J97" s="347">
        <v>0</v>
      </c>
      <c r="K97" s="347"/>
      <c r="L97" s="347" t="s">
        <v>131</v>
      </c>
      <c r="M97" s="347" t="s">
        <v>1019</v>
      </c>
      <c r="N97" s="347" t="s">
        <v>1011</v>
      </c>
      <c r="O97" s="347" t="s">
        <v>299</v>
      </c>
      <c r="P97" s="347" t="s">
        <v>300</v>
      </c>
      <c r="Q97" s="347" t="s">
        <v>301</v>
      </c>
      <c r="R97" s="347" t="s">
        <v>1586</v>
      </c>
      <c r="S97" s="347" t="s">
        <v>1327</v>
      </c>
      <c r="T97" s="347" t="s">
        <v>1328</v>
      </c>
      <c r="U97" s="347" t="s">
        <v>40</v>
      </c>
      <c r="V97" s="347" t="s">
        <v>1019</v>
      </c>
      <c r="W97" s="347" t="s">
        <v>46</v>
      </c>
      <c r="X97" s="347">
        <f t="shared" si="1"/>
        <v>20</v>
      </c>
    </row>
    <row r="98" spans="1:24" ht="228" x14ac:dyDescent="0.2">
      <c r="A98" s="226" t="s">
        <v>283</v>
      </c>
      <c r="B98" s="347" t="s">
        <v>1120</v>
      </c>
      <c r="C98" s="347">
        <v>0</v>
      </c>
      <c r="D98" s="347">
        <v>1</v>
      </c>
      <c r="E98" s="347">
        <v>0</v>
      </c>
      <c r="F98" s="347">
        <v>0</v>
      </c>
      <c r="G98" s="347">
        <v>0</v>
      </c>
      <c r="H98" s="347">
        <v>0</v>
      </c>
      <c r="I98" s="347">
        <v>0</v>
      </c>
      <c r="J98" s="347">
        <v>0</v>
      </c>
      <c r="K98" s="347"/>
      <c r="L98" s="347" t="s">
        <v>131</v>
      </c>
      <c r="M98" s="347" t="s">
        <v>1019</v>
      </c>
      <c r="N98" s="347" t="s">
        <v>1011</v>
      </c>
      <c r="O98" s="347" t="s">
        <v>1011</v>
      </c>
      <c r="P98" s="347" t="s">
        <v>327</v>
      </c>
      <c r="Q98" s="347" t="s">
        <v>328</v>
      </c>
      <c r="R98" s="347" t="s">
        <v>1586</v>
      </c>
      <c r="S98" s="347" t="s">
        <v>1329</v>
      </c>
      <c r="T98" s="347" t="s">
        <v>1445</v>
      </c>
      <c r="U98" s="347" t="s">
        <v>40</v>
      </c>
      <c r="V98" s="347" t="s">
        <v>1019</v>
      </c>
      <c r="W98" s="347" t="s">
        <v>46</v>
      </c>
      <c r="X98" s="347">
        <f t="shared" si="1"/>
        <v>20</v>
      </c>
    </row>
    <row r="99" spans="1:24" ht="142.5" x14ac:dyDescent="0.2">
      <c r="A99" s="226" t="s">
        <v>286</v>
      </c>
      <c r="B99" s="347" t="s">
        <v>278</v>
      </c>
      <c r="C99" s="347">
        <v>0</v>
      </c>
      <c r="D99" s="347">
        <v>1</v>
      </c>
      <c r="E99" s="347">
        <v>0</v>
      </c>
      <c r="F99" s="347">
        <v>0</v>
      </c>
      <c r="G99" s="347">
        <v>0</v>
      </c>
      <c r="H99" s="347">
        <v>0</v>
      </c>
      <c r="I99" s="347">
        <v>0</v>
      </c>
      <c r="J99" s="347">
        <v>1</v>
      </c>
      <c r="K99" s="347"/>
      <c r="L99" s="347" t="s">
        <v>131</v>
      </c>
      <c r="M99" s="347" t="s">
        <v>72</v>
      </c>
      <c r="N99" s="347" t="s">
        <v>1011</v>
      </c>
      <c r="O99" s="347" t="s">
        <v>1011</v>
      </c>
      <c r="P99" s="347" t="s">
        <v>90</v>
      </c>
      <c r="Q99" s="347" t="s">
        <v>279</v>
      </c>
      <c r="R99" s="347"/>
      <c r="S99" s="347" t="s">
        <v>280</v>
      </c>
      <c r="T99" s="347" t="s">
        <v>281</v>
      </c>
      <c r="U99" s="347" t="s">
        <v>40</v>
      </c>
      <c r="V99" s="347" t="s">
        <v>1019</v>
      </c>
      <c r="W99" s="347" t="s">
        <v>75</v>
      </c>
      <c r="X99" s="347">
        <f t="shared" si="1"/>
        <v>10</v>
      </c>
    </row>
    <row r="100" spans="1:24" ht="232.5" customHeight="1" x14ac:dyDescent="0.2">
      <c r="A100" s="226" t="s">
        <v>290</v>
      </c>
      <c r="B100" s="347" t="s">
        <v>1121</v>
      </c>
      <c r="C100" s="347">
        <v>0</v>
      </c>
      <c r="D100" s="347">
        <v>1</v>
      </c>
      <c r="E100" s="347">
        <v>0</v>
      </c>
      <c r="F100" s="347">
        <v>0</v>
      </c>
      <c r="G100" s="347">
        <v>0</v>
      </c>
      <c r="H100" s="347">
        <v>0</v>
      </c>
      <c r="I100" s="347">
        <v>0</v>
      </c>
      <c r="J100" s="347">
        <v>1</v>
      </c>
      <c r="K100" s="347"/>
      <c r="L100" s="347" t="s">
        <v>131</v>
      </c>
      <c r="M100" s="347" t="s">
        <v>1019</v>
      </c>
      <c r="N100" s="347" t="s">
        <v>1011</v>
      </c>
      <c r="O100" s="347" t="s">
        <v>1011</v>
      </c>
      <c r="P100" s="347" t="s">
        <v>1122</v>
      </c>
      <c r="Q100" s="347" t="s">
        <v>1482</v>
      </c>
      <c r="R100" s="347"/>
      <c r="S100" s="347" t="s">
        <v>1123</v>
      </c>
      <c r="T100" s="347" t="s">
        <v>1330</v>
      </c>
      <c r="U100" s="347" t="s">
        <v>40</v>
      </c>
      <c r="V100" s="347" t="s">
        <v>1019</v>
      </c>
      <c r="W100" s="347" t="s">
        <v>75</v>
      </c>
      <c r="X100" s="347">
        <f t="shared" si="1"/>
        <v>10</v>
      </c>
    </row>
    <row r="101" spans="1:24" ht="139.5" customHeight="1" x14ac:dyDescent="0.2">
      <c r="A101" s="226" t="s">
        <v>294</v>
      </c>
      <c r="B101" s="347" t="s">
        <v>1124</v>
      </c>
      <c r="C101" s="347">
        <v>0</v>
      </c>
      <c r="D101" s="347">
        <v>1</v>
      </c>
      <c r="E101" s="347">
        <v>0</v>
      </c>
      <c r="F101" s="347">
        <v>0</v>
      </c>
      <c r="G101" s="347">
        <v>0</v>
      </c>
      <c r="H101" s="347">
        <v>0</v>
      </c>
      <c r="I101" s="347">
        <v>0</v>
      </c>
      <c r="J101" s="347">
        <v>0</v>
      </c>
      <c r="K101" s="347"/>
      <c r="L101" s="347" t="s">
        <v>131</v>
      </c>
      <c r="M101" s="347" t="s">
        <v>1019</v>
      </c>
      <c r="N101" s="347" t="s">
        <v>1011</v>
      </c>
      <c r="O101" s="347" t="s">
        <v>1011</v>
      </c>
      <c r="P101" s="347" t="s">
        <v>284</v>
      </c>
      <c r="Q101" s="347" t="s">
        <v>285</v>
      </c>
      <c r="R101" s="347"/>
      <c r="S101" s="347" t="s">
        <v>1331</v>
      </c>
      <c r="T101" s="347" t="s">
        <v>1332</v>
      </c>
      <c r="U101" s="347" t="s">
        <v>40</v>
      </c>
      <c r="V101" s="347" t="s">
        <v>1019</v>
      </c>
      <c r="W101" s="347" t="s">
        <v>75</v>
      </c>
      <c r="X101" s="347">
        <f t="shared" si="1"/>
        <v>10</v>
      </c>
    </row>
    <row r="102" spans="1:24" ht="99.75" x14ac:dyDescent="0.2">
      <c r="A102" s="226" t="s">
        <v>298</v>
      </c>
      <c r="B102" s="347" t="s">
        <v>311</v>
      </c>
      <c r="C102" s="347">
        <v>0</v>
      </c>
      <c r="D102" s="347">
        <v>1</v>
      </c>
      <c r="E102" s="347">
        <v>0</v>
      </c>
      <c r="F102" s="347">
        <v>0</v>
      </c>
      <c r="G102" s="347">
        <v>0</v>
      </c>
      <c r="H102" s="347">
        <v>0</v>
      </c>
      <c r="I102" s="347">
        <v>0</v>
      </c>
      <c r="J102" s="347">
        <v>0</v>
      </c>
      <c r="K102" s="347"/>
      <c r="L102" s="347" t="s">
        <v>131</v>
      </c>
      <c r="M102" s="347" t="s">
        <v>1019</v>
      </c>
      <c r="N102" s="347" t="s">
        <v>1011</v>
      </c>
      <c r="O102" s="347" t="s">
        <v>1011</v>
      </c>
      <c r="P102" s="347" t="s">
        <v>312</v>
      </c>
      <c r="Q102" s="347" t="s">
        <v>313</v>
      </c>
      <c r="R102" s="347"/>
      <c r="S102" s="347" t="s">
        <v>1333</v>
      </c>
      <c r="T102" s="347" t="s">
        <v>1334</v>
      </c>
      <c r="U102" s="347" t="s">
        <v>40</v>
      </c>
      <c r="V102" s="347" t="s">
        <v>1019</v>
      </c>
      <c r="W102" s="347" t="s">
        <v>75</v>
      </c>
      <c r="X102" s="347">
        <f t="shared" si="1"/>
        <v>10</v>
      </c>
    </row>
    <row r="103" spans="1:24" ht="214.5" customHeight="1" x14ac:dyDescent="0.2">
      <c r="A103" s="226" t="s">
        <v>302</v>
      </c>
      <c r="B103" s="347" t="s">
        <v>1062</v>
      </c>
      <c r="C103" s="347">
        <v>0</v>
      </c>
      <c r="D103" s="347">
        <v>1</v>
      </c>
      <c r="E103" s="347">
        <v>0</v>
      </c>
      <c r="F103" s="347">
        <v>0</v>
      </c>
      <c r="G103" s="347">
        <v>0</v>
      </c>
      <c r="H103" s="347">
        <v>0</v>
      </c>
      <c r="I103" s="347">
        <v>0</v>
      </c>
      <c r="J103" s="347">
        <v>0</v>
      </c>
      <c r="K103" s="347"/>
      <c r="L103" s="347" t="s">
        <v>131</v>
      </c>
      <c r="M103" s="347" t="s">
        <v>1019</v>
      </c>
      <c r="N103" s="347" t="s">
        <v>1011</v>
      </c>
      <c r="O103" s="347" t="s">
        <v>1011</v>
      </c>
      <c r="P103" s="347" t="s">
        <v>315</v>
      </c>
      <c r="Q103" s="347" t="s">
        <v>316</v>
      </c>
      <c r="R103" s="347"/>
      <c r="S103" s="347" t="s">
        <v>1335</v>
      </c>
      <c r="T103" s="347" t="s">
        <v>1336</v>
      </c>
      <c r="U103" s="347" t="s">
        <v>40</v>
      </c>
      <c r="V103" s="347" t="s">
        <v>1019</v>
      </c>
      <c r="W103" s="347" t="s">
        <v>75</v>
      </c>
      <c r="X103" s="347">
        <f t="shared" si="1"/>
        <v>10</v>
      </c>
    </row>
    <row r="104" spans="1:24" ht="244.5" customHeight="1" x14ac:dyDescent="0.2">
      <c r="A104" s="226" t="s">
        <v>305</v>
      </c>
      <c r="B104" s="347" t="s">
        <v>291</v>
      </c>
      <c r="C104" s="347">
        <v>0</v>
      </c>
      <c r="D104" s="347">
        <v>1</v>
      </c>
      <c r="E104" s="347">
        <v>0</v>
      </c>
      <c r="F104" s="347">
        <v>0</v>
      </c>
      <c r="G104" s="347">
        <v>0</v>
      </c>
      <c r="H104" s="347">
        <v>0</v>
      </c>
      <c r="I104" s="347">
        <v>0</v>
      </c>
      <c r="J104" s="347">
        <v>0</v>
      </c>
      <c r="K104" s="347"/>
      <c r="L104" s="347" t="s">
        <v>131</v>
      </c>
      <c r="M104" s="347" t="s">
        <v>1019</v>
      </c>
      <c r="N104" s="347" t="s">
        <v>1011</v>
      </c>
      <c r="O104" s="347" t="s">
        <v>1011</v>
      </c>
      <c r="P104" s="347" t="s">
        <v>292</v>
      </c>
      <c r="Q104" s="347" t="s">
        <v>293</v>
      </c>
      <c r="R104" s="355" t="s">
        <v>1626</v>
      </c>
      <c r="S104" s="347" t="s">
        <v>1337</v>
      </c>
      <c r="T104" s="347" t="s">
        <v>1257</v>
      </c>
      <c r="U104" s="347" t="s">
        <v>40</v>
      </c>
      <c r="V104" s="347" t="s">
        <v>1019</v>
      </c>
      <c r="W104" s="347" t="s">
        <v>41</v>
      </c>
      <c r="X104" s="347">
        <f t="shared" si="1"/>
        <v>5</v>
      </c>
    </row>
    <row r="105" spans="1:24" ht="128.25" x14ac:dyDescent="0.2">
      <c r="A105" s="226" t="s">
        <v>308</v>
      </c>
      <c r="B105" s="347" t="s">
        <v>295</v>
      </c>
      <c r="C105" s="347">
        <v>0</v>
      </c>
      <c r="D105" s="347">
        <v>1</v>
      </c>
      <c r="E105" s="347">
        <v>0</v>
      </c>
      <c r="F105" s="347">
        <v>0</v>
      </c>
      <c r="G105" s="347">
        <v>0</v>
      </c>
      <c r="H105" s="347">
        <v>0</v>
      </c>
      <c r="I105" s="347">
        <v>0</v>
      </c>
      <c r="J105" s="347">
        <v>0</v>
      </c>
      <c r="K105" s="347"/>
      <c r="L105" s="347" t="s">
        <v>131</v>
      </c>
      <c r="M105" s="347" t="s">
        <v>1019</v>
      </c>
      <c r="N105" s="347" t="s">
        <v>1011</v>
      </c>
      <c r="O105" s="347" t="s">
        <v>296</v>
      </c>
      <c r="P105" s="347" t="s">
        <v>1261</v>
      </c>
      <c r="Q105" s="347" t="s">
        <v>297</v>
      </c>
      <c r="R105" s="355" t="s">
        <v>1626</v>
      </c>
      <c r="S105" s="347" t="s">
        <v>1338</v>
      </c>
      <c r="T105" s="347" t="s">
        <v>1339</v>
      </c>
      <c r="U105" s="347" t="s">
        <v>40</v>
      </c>
      <c r="V105" s="347" t="s">
        <v>1019</v>
      </c>
      <c r="W105" s="347" t="s">
        <v>41</v>
      </c>
      <c r="X105" s="347">
        <f t="shared" si="1"/>
        <v>5</v>
      </c>
    </row>
    <row r="106" spans="1:24" ht="114" x14ac:dyDescent="0.2">
      <c r="A106" s="226" t="s">
        <v>310</v>
      </c>
      <c r="B106" s="347" t="s">
        <v>303</v>
      </c>
      <c r="C106" s="347">
        <v>0</v>
      </c>
      <c r="D106" s="347">
        <v>1</v>
      </c>
      <c r="E106" s="347">
        <v>0</v>
      </c>
      <c r="F106" s="347">
        <v>0</v>
      </c>
      <c r="G106" s="347">
        <v>0</v>
      </c>
      <c r="H106" s="347">
        <v>0</v>
      </c>
      <c r="I106" s="347">
        <v>0</v>
      </c>
      <c r="J106" s="347">
        <v>0</v>
      </c>
      <c r="K106" s="347"/>
      <c r="L106" s="347" t="s">
        <v>131</v>
      </c>
      <c r="M106" s="347" t="s">
        <v>1019</v>
      </c>
      <c r="N106" s="347" t="s">
        <v>1011</v>
      </c>
      <c r="O106" s="347" t="s">
        <v>1011</v>
      </c>
      <c r="P106" s="347" t="s">
        <v>304</v>
      </c>
      <c r="Q106" s="347" t="s">
        <v>1225</v>
      </c>
      <c r="R106" s="355" t="s">
        <v>1626</v>
      </c>
      <c r="S106" s="347" t="s">
        <v>1340</v>
      </c>
      <c r="T106" s="347" t="s">
        <v>1341</v>
      </c>
      <c r="U106" s="347" t="s">
        <v>40</v>
      </c>
      <c r="V106" s="347" t="s">
        <v>1019</v>
      </c>
      <c r="W106" s="347" t="s">
        <v>41</v>
      </c>
      <c r="X106" s="347">
        <f t="shared" si="1"/>
        <v>5</v>
      </c>
    </row>
    <row r="107" spans="1:24" ht="85.5" x14ac:dyDescent="0.2">
      <c r="A107" s="226" t="s">
        <v>314</v>
      </c>
      <c r="B107" s="347" t="s">
        <v>1262</v>
      </c>
      <c r="C107" s="347">
        <v>0</v>
      </c>
      <c r="D107" s="347">
        <v>1</v>
      </c>
      <c r="E107" s="347">
        <v>0</v>
      </c>
      <c r="F107" s="347">
        <v>0</v>
      </c>
      <c r="G107" s="347">
        <v>0</v>
      </c>
      <c r="H107" s="347">
        <v>0</v>
      </c>
      <c r="I107" s="347">
        <v>0</v>
      </c>
      <c r="J107" s="347">
        <v>0</v>
      </c>
      <c r="K107" s="347"/>
      <c r="L107" s="347" t="s">
        <v>131</v>
      </c>
      <c r="M107" s="347" t="s">
        <v>1019</v>
      </c>
      <c r="N107" s="347" t="s">
        <v>1011</v>
      </c>
      <c r="O107" s="347" t="s">
        <v>1011</v>
      </c>
      <c r="P107" s="347" t="s">
        <v>306</v>
      </c>
      <c r="Q107" s="347" t="s">
        <v>307</v>
      </c>
      <c r="R107" s="347"/>
      <c r="S107" s="347" t="s">
        <v>1342</v>
      </c>
      <c r="T107" s="347" t="s">
        <v>1343</v>
      </c>
      <c r="U107" s="347" t="s">
        <v>40</v>
      </c>
      <c r="V107" s="347" t="s">
        <v>1019</v>
      </c>
      <c r="W107" s="347" t="s">
        <v>41</v>
      </c>
      <c r="X107" s="347">
        <f t="shared" si="1"/>
        <v>5</v>
      </c>
    </row>
    <row r="108" spans="1:24" ht="276.75" customHeight="1" x14ac:dyDescent="0.2">
      <c r="A108" s="226" t="s">
        <v>317</v>
      </c>
      <c r="B108" s="347" t="s">
        <v>1226</v>
      </c>
      <c r="C108" s="347">
        <v>0</v>
      </c>
      <c r="D108" s="347">
        <v>1</v>
      </c>
      <c r="E108" s="347">
        <v>0</v>
      </c>
      <c r="F108" s="347">
        <v>0</v>
      </c>
      <c r="G108" s="347">
        <v>0</v>
      </c>
      <c r="H108" s="347">
        <v>0</v>
      </c>
      <c r="I108" s="347">
        <v>0</v>
      </c>
      <c r="J108" s="347">
        <v>0</v>
      </c>
      <c r="K108" s="347"/>
      <c r="L108" s="347" t="s">
        <v>131</v>
      </c>
      <c r="M108" s="347" t="s">
        <v>1019</v>
      </c>
      <c r="N108" s="347" t="s">
        <v>1011</v>
      </c>
      <c r="O108" s="347" t="s">
        <v>1011</v>
      </c>
      <c r="P108" s="347" t="s">
        <v>1227</v>
      </c>
      <c r="Q108" s="347" t="s">
        <v>1011</v>
      </c>
      <c r="R108" s="347"/>
      <c r="S108" s="347" t="s">
        <v>1344</v>
      </c>
      <c r="T108" s="347" t="s">
        <v>309</v>
      </c>
      <c r="U108" s="347" t="s">
        <v>40</v>
      </c>
      <c r="V108" s="347" t="s">
        <v>1019</v>
      </c>
      <c r="W108" s="347" t="s">
        <v>41</v>
      </c>
      <c r="X108" s="347">
        <f t="shared" si="1"/>
        <v>5</v>
      </c>
    </row>
    <row r="109" spans="1:24" ht="174" customHeight="1" x14ac:dyDescent="0.2">
      <c r="A109" s="226" t="s">
        <v>322</v>
      </c>
      <c r="B109" s="347" t="s">
        <v>318</v>
      </c>
      <c r="C109" s="347">
        <v>0</v>
      </c>
      <c r="D109" s="347">
        <v>1</v>
      </c>
      <c r="E109" s="347">
        <v>0</v>
      </c>
      <c r="F109" s="347">
        <v>0</v>
      </c>
      <c r="G109" s="347">
        <v>0</v>
      </c>
      <c r="H109" s="347">
        <v>0</v>
      </c>
      <c r="I109" s="347">
        <v>0</v>
      </c>
      <c r="J109" s="347">
        <v>0</v>
      </c>
      <c r="K109" s="347"/>
      <c r="L109" s="347" t="s">
        <v>131</v>
      </c>
      <c r="M109" s="347" t="s">
        <v>1019</v>
      </c>
      <c r="N109" s="347" t="s">
        <v>1011</v>
      </c>
      <c r="O109" s="347" t="s">
        <v>1011</v>
      </c>
      <c r="P109" s="347" t="s">
        <v>319</v>
      </c>
      <c r="Q109" s="347" t="s">
        <v>320</v>
      </c>
      <c r="R109" s="347"/>
      <c r="S109" s="347" t="s">
        <v>321</v>
      </c>
      <c r="T109" s="347" t="s">
        <v>1330</v>
      </c>
      <c r="U109" s="347" t="s">
        <v>40</v>
      </c>
      <c r="V109" s="347" t="s">
        <v>1019</v>
      </c>
      <c r="W109" s="347" t="s">
        <v>41</v>
      </c>
      <c r="X109" s="347">
        <f t="shared" si="1"/>
        <v>5</v>
      </c>
    </row>
    <row r="110" spans="1:24" ht="156.75" x14ac:dyDescent="0.2">
      <c r="A110" s="226" t="s">
        <v>326</v>
      </c>
      <c r="B110" s="347" t="s">
        <v>323</v>
      </c>
      <c r="C110" s="347">
        <v>0</v>
      </c>
      <c r="D110" s="347">
        <v>1</v>
      </c>
      <c r="E110" s="347">
        <v>0</v>
      </c>
      <c r="F110" s="347">
        <v>0</v>
      </c>
      <c r="G110" s="347">
        <v>0</v>
      </c>
      <c r="H110" s="347">
        <v>0</v>
      </c>
      <c r="I110" s="347">
        <v>0</v>
      </c>
      <c r="J110" s="347">
        <v>0</v>
      </c>
      <c r="K110" s="347"/>
      <c r="L110" s="347" t="s">
        <v>131</v>
      </c>
      <c r="M110" s="347" t="s">
        <v>1019</v>
      </c>
      <c r="N110" s="347" t="s">
        <v>1011</v>
      </c>
      <c r="O110" s="347" t="s">
        <v>1011</v>
      </c>
      <c r="P110" s="347" t="s">
        <v>324</v>
      </c>
      <c r="Q110" s="347" t="s">
        <v>325</v>
      </c>
      <c r="R110" s="347"/>
      <c r="S110" s="347" t="s">
        <v>1125</v>
      </c>
      <c r="T110" s="347" t="s">
        <v>1345</v>
      </c>
      <c r="U110" s="347" t="s">
        <v>40</v>
      </c>
      <c r="V110" s="347" t="s">
        <v>1019</v>
      </c>
      <c r="W110" s="347" t="s">
        <v>41</v>
      </c>
      <c r="X110" s="347">
        <f t="shared" si="1"/>
        <v>5</v>
      </c>
    </row>
    <row r="111" spans="1:24" ht="213.75" x14ac:dyDescent="0.2">
      <c r="A111" s="226" t="s">
        <v>329</v>
      </c>
      <c r="B111" s="347" t="s">
        <v>330</v>
      </c>
      <c r="C111" s="347">
        <v>0</v>
      </c>
      <c r="D111" s="347">
        <v>1</v>
      </c>
      <c r="E111" s="347">
        <v>0</v>
      </c>
      <c r="F111" s="347">
        <v>0</v>
      </c>
      <c r="G111" s="347">
        <v>0</v>
      </c>
      <c r="H111" s="347">
        <v>0</v>
      </c>
      <c r="I111" s="347">
        <v>0</v>
      </c>
      <c r="J111" s="347">
        <v>0</v>
      </c>
      <c r="K111" s="347"/>
      <c r="L111" s="347" t="s">
        <v>131</v>
      </c>
      <c r="M111" s="347" t="s">
        <v>1019</v>
      </c>
      <c r="N111" s="347" t="s">
        <v>1011</v>
      </c>
      <c r="O111" s="347" t="s">
        <v>1011</v>
      </c>
      <c r="P111" s="347" t="s">
        <v>331</v>
      </c>
      <c r="Q111" s="347" t="s">
        <v>332</v>
      </c>
      <c r="R111" s="347"/>
      <c r="S111" s="347" t="s">
        <v>1289</v>
      </c>
      <c r="T111" s="347" t="s">
        <v>1290</v>
      </c>
      <c r="U111" s="347" t="s">
        <v>40</v>
      </c>
      <c r="V111" s="347" t="s">
        <v>1019</v>
      </c>
      <c r="W111" s="347" t="s">
        <v>41</v>
      </c>
      <c r="X111" s="347">
        <f t="shared" si="1"/>
        <v>5</v>
      </c>
    </row>
    <row r="112" spans="1:24" ht="142.5" x14ac:dyDescent="0.2">
      <c r="A112" s="347" t="s">
        <v>333</v>
      </c>
      <c r="B112" s="347" t="s">
        <v>1036</v>
      </c>
      <c r="C112" s="347">
        <v>0</v>
      </c>
      <c r="D112" s="347">
        <v>0</v>
      </c>
      <c r="E112" s="347">
        <v>1</v>
      </c>
      <c r="F112" s="347">
        <v>0</v>
      </c>
      <c r="G112" s="347">
        <v>0</v>
      </c>
      <c r="H112" s="347">
        <v>0</v>
      </c>
      <c r="I112" s="347">
        <v>0</v>
      </c>
      <c r="J112" s="347">
        <v>0</v>
      </c>
      <c r="K112" s="347"/>
      <c r="L112" s="347" t="s">
        <v>4</v>
      </c>
      <c r="M112" s="347" t="s">
        <v>1019</v>
      </c>
      <c r="N112" s="347" t="s">
        <v>1296</v>
      </c>
      <c r="O112" s="347" t="s">
        <v>1011</v>
      </c>
      <c r="P112" s="347" t="s">
        <v>1011</v>
      </c>
      <c r="Q112" s="347" t="s">
        <v>338</v>
      </c>
      <c r="R112" s="347"/>
      <c r="S112" s="347" t="s">
        <v>339</v>
      </c>
      <c r="T112" s="347" t="s">
        <v>1346</v>
      </c>
      <c r="U112" s="347" t="s">
        <v>149</v>
      </c>
      <c r="V112" s="347" t="s">
        <v>1019</v>
      </c>
      <c r="W112" s="347" t="s">
        <v>46</v>
      </c>
      <c r="X112" s="347">
        <f t="shared" si="1"/>
        <v>20</v>
      </c>
    </row>
    <row r="113" spans="1:24" ht="114" x14ac:dyDescent="0.2">
      <c r="A113" s="347" t="s">
        <v>337</v>
      </c>
      <c r="B113" s="347" t="s">
        <v>1126</v>
      </c>
      <c r="C113" s="347">
        <v>0</v>
      </c>
      <c r="D113" s="347">
        <v>0</v>
      </c>
      <c r="E113" s="347">
        <v>1</v>
      </c>
      <c r="F113" s="347">
        <v>0</v>
      </c>
      <c r="G113" s="347">
        <v>0</v>
      </c>
      <c r="H113" s="347">
        <v>0</v>
      </c>
      <c r="I113" s="347">
        <v>0</v>
      </c>
      <c r="J113" s="347">
        <v>1</v>
      </c>
      <c r="K113" s="347"/>
      <c r="L113" s="347" t="s">
        <v>4</v>
      </c>
      <c r="M113" s="347" t="s">
        <v>1019</v>
      </c>
      <c r="N113" s="347" t="s">
        <v>1296</v>
      </c>
      <c r="O113" s="347" t="s">
        <v>1011</v>
      </c>
      <c r="P113" s="347" t="s">
        <v>341</v>
      </c>
      <c r="Q113" s="347" t="s">
        <v>342</v>
      </c>
      <c r="R113" s="347"/>
      <c r="S113" s="347" t="s">
        <v>1258</v>
      </c>
      <c r="T113" s="347" t="s">
        <v>343</v>
      </c>
      <c r="U113" s="347" t="s">
        <v>40</v>
      </c>
      <c r="V113" s="347" t="s">
        <v>1019</v>
      </c>
      <c r="W113" s="347" t="s">
        <v>46</v>
      </c>
      <c r="X113" s="347">
        <f t="shared" si="1"/>
        <v>20</v>
      </c>
    </row>
    <row r="114" spans="1:24" ht="128.25" x14ac:dyDescent="0.2">
      <c r="A114" s="347" t="s">
        <v>340</v>
      </c>
      <c r="B114" s="347" t="s">
        <v>1127</v>
      </c>
      <c r="C114" s="347">
        <v>0</v>
      </c>
      <c r="D114" s="347">
        <v>0</v>
      </c>
      <c r="E114" s="347">
        <v>1</v>
      </c>
      <c r="F114" s="347">
        <v>0</v>
      </c>
      <c r="G114" s="347">
        <v>0</v>
      </c>
      <c r="H114" s="347">
        <v>0</v>
      </c>
      <c r="I114" s="347">
        <v>0</v>
      </c>
      <c r="J114" s="347">
        <v>1</v>
      </c>
      <c r="K114" s="347"/>
      <c r="L114" s="347" t="s">
        <v>4</v>
      </c>
      <c r="M114" s="347" t="s">
        <v>1019</v>
      </c>
      <c r="N114" s="347" t="s">
        <v>1296</v>
      </c>
      <c r="O114" s="347" t="s">
        <v>1011</v>
      </c>
      <c r="P114" s="347" t="s">
        <v>345</v>
      </c>
      <c r="Q114" s="347" t="s">
        <v>346</v>
      </c>
      <c r="R114" s="347"/>
      <c r="S114" s="347" t="s">
        <v>347</v>
      </c>
      <c r="T114" s="347" t="s">
        <v>348</v>
      </c>
      <c r="U114" s="347" t="s">
        <v>40</v>
      </c>
      <c r="V114" s="347" t="s">
        <v>1019</v>
      </c>
      <c r="W114" s="347" t="s">
        <v>46</v>
      </c>
      <c r="X114" s="347">
        <f t="shared" si="1"/>
        <v>20</v>
      </c>
    </row>
    <row r="115" spans="1:24" ht="185.25" x14ac:dyDescent="0.2">
      <c r="A115" s="347" t="s">
        <v>344</v>
      </c>
      <c r="B115" s="347" t="s">
        <v>1265</v>
      </c>
      <c r="C115" s="347">
        <v>0</v>
      </c>
      <c r="D115" s="347">
        <v>0</v>
      </c>
      <c r="E115" s="347">
        <v>1</v>
      </c>
      <c r="F115" s="347">
        <v>0</v>
      </c>
      <c r="G115" s="347">
        <v>0</v>
      </c>
      <c r="H115" s="347">
        <v>0</v>
      </c>
      <c r="I115" s="347">
        <v>0</v>
      </c>
      <c r="J115" s="347">
        <v>0</v>
      </c>
      <c r="K115" s="347"/>
      <c r="L115" s="347" t="s">
        <v>4</v>
      </c>
      <c r="M115" s="347" t="s">
        <v>1019</v>
      </c>
      <c r="N115" s="347" t="s">
        <v>1296</v>
      </c>
      <c r="O115" s="347" t="s">
        <v>1011</v>
      </c>
      <c r="P115" s="347" t="s">
        <v>350</v>
      </c>
      <c r="Q115" s="347" t="s">
        <v>351</v>
      </c>
      <c r="R115" s="347"/>
      <c r="S115" s="347" t="s">
        <v>1347</v>
      </c>
      <c r="T115" s="347" t="s">
        <v>1348</v>
      </c>
      <c r="U115" s="347" t="s">
        <v>40</v>
      </c>
      <c r="V115" s="347" t="s">
        <v>1019</v>
      </c>
      <c r="W115" s="347" t="s">
        <v>46</v>
      </c>
      <c r="X115" s="347">
        <f t="shared" si="1"/>
        <v>20</v>
      </c>
    </row>
    <row r="116" spans="1:24" ht="156.75" x14ac:dyDescent="0.2">
      <c r="A116" s="347" t="s">
        <v>349</v>
      </c>
      <c r="B116" s="347" t="s">
        <v>1037</v>
      </c>
      <c r="C116" s="347">
        <v>0</v>
      </c>
      <c r="D116" s="347">
        <v>0</v>
      </c>
      <c r="E116" s="347">
        <v>1</v>
      </c>
      <c r="F116" s="347">
        <v>0</v>
      </c>
      <c r="G116" s="347">
        <v>0</v>
      </c>
      <c r="H116" s="347">
        <v>0</v>
      </c>
      <c r="I116" s="347">
        <v>0</v>
      </c>
      <c r="J116" s="347">
        <v>1</v>
      </c>
      <c r="K116" s="347"/>
      <c r="L116" s="347" t="s">
        <v>4</v>
      </c>
      <c r="M116" s="347" t="s">
        <v>1019</v>
      </c>
      <c r="N116" s="347" t="s">
        <v>1296</v>
      </c>
      <c r="O116" s="347" t="s">
        <v>1011</v>
      </c>
      <c r="P116" s="347" t="s">
        <v>355</v>
      </c>
      <c r="Q116" s="347" t="s">
        <v>353</v>
      </c>
      <c r="R116" s="347"/>
      <c r="S116" s="347" t="s">
        <v>1349</v>
      </c>
      <c r="T116" s="347" t="s">
        <v>1350</v>
      </c>
      <c r="U116" s="347" t="s">
        <v>40</v>
      </c>
      <c r="V116" s="347" t="s">
        <v>1019</v>
      </c>
      <c r="W116" s="347" t="s">
        <v>46</v>
      </c>
      <c r="X116" s="347">
        <f t="shared" si="1"/>
        <v>20</v>
      </c>
    </row>
    <row r="117" spans="1:24" ht="128.25" x14ac:dyDescent="0.2">
      <c r="A117" s="347" t="s">
        <v>352</v>
      </c>
      <c r="B117" s="347" t="s">
        <v>1770</v>
      </c>
      <c r="C117" s="347">
        <v>0</v>
      </c>
      <c r="D117" s="347">
        <v>0</v>
      </c>
      <c r="E117" s="347">
        <v>1</v>
      </c>
      <c r="F117" s="347">
        <v>0</v>
      </c>
      <c r="G117" s="347">
        <v>0</v>
      </c>
      <c r="H117" s="347">
        <v>0</v>
      </c>
      <c r="I117" s="347">
        <v>0</v>
      </c>
      <c r="J117" s="347">
        <v>1</v>
      </c>
      <c r="K117" s="347"/>
      <c r="L117" s="347" t="s">
        <v>4</v>
      </c>
      <c r="M117" s="347" t="s">
        <v>1019</v>
      </c>
      <c r="N117" s="347" t="s">
        <v>1296</v>
      </c>
      <c r="O117" s="347" t="s">
        <v>1011</v>
      </c>
      <c r="P117" s="347" t="s">
        <v>365</v>
      </c>
      <c r="Q117" s="347" t="s">
        <v>366</v>
      </c>
      <c r="R117" s="347"/>
      <c r="S117" s="347" t="s">
        <v>367</v>
      </c>
      <c r="T117" s="347" t="s">
        <v>1351</v>
      </c>
      <c r="U117" s="347" t="s">
        <v>40</v>
      </c>
      <c r="V117" s="347" t="s">
        <v>1019</v>
      </c>
      <c r="W117" s="347" t="s">
        <v>46</v>
      </c>
      <c r="X117" s="347">
        <f t="shared" si="1"/>
        <v>20</v>
      </c>
    </row>
    <row r="118" spans="1:24" ht="185.25" x14ac:dyDescent="0.2">
      <c r="A118" s="347" t="s">
        <v>354</v>
      </c>
      <c r="B118" s="347" t="s">
        <v>1038</v>
      </c>
      <c r="C118" s="347">
        <v>0</v>
      </c>
      <c r="D118" s="347">
        <v>0</v>
      </c>
      <c r="E118" s="347">
        <v>1</v>
      </c>
      <c r="F118" s="347">
        <v>0</v>
      </c>
      <c r="G118" s="347">
        <v>0</v>
      </c>
      <c r="H118" s="347">
        <v>0</v>
      </c>
      <c r="I118" s="347">
        <v>0</v>
      </c>
      <c r="J118" s="347">
        <v>0</v>
      </c>
      <c r="K118" s="347"/>
      <c r="L118" s="347" t="s">
        <v>4</v>
      </c>
      <c r="M118" s="347" t="s">
        <v>1019</v>
      </c>
      <c r="N118" s="347" t="s">
        <v>1296</v>
      </c>
      <c r="O118" s="347" t="s">
        <v>1011</v>
      </c>
      <c r="P118" s="347" t="s">
        <v>1011</v>
      </c>
      <c r="Q118" s="347" t="s">
        <v>387</v>
      </c>
      <c r="R118" s="347"/>
      <c r="S118" s="347" t="s">
        <v>388</v>
      </c>
      <c r="T118" s="347" t="s">
        <v>389</v>
      </c>
      <c r="U118" s="347" t="s">
        <v>149</v>
      </c>
      <c r="V118" s="347" t="s">
        <v>1019</v>
      </c>
      <c r="W118" s="347" t="s">
        <v>46</v>
      </c>
      <c r="X118" s="347">
        <f t="shared" si="1"/>
        <v>20</v>
      </c>
    </row>
    <row r="119" spans="1:24" ht="156.75" x14ac:dyDescent="0.2">
      <c r="A119" s="347" t="s">
        <v>356</v>
      </c>
      <c r="B119" s="347" t="s">
        <v>1039</v>
      </c>
      <c r="C119" s="347">
        <v>0</v>
      </c>
      <c r="D119" s="347">
        <v>0</v>
      </c>
      <c r="E119" s="347">
        <v>1</v>
      </c>
      <c r="F119" s="347">
        <v>0</v>
      </c>
      <c r="G119" s="347">
        <v>0</v>
      </c>
      <c r="H119" s="347">
        <v>0</v>
      </c>
      <c r="I119" s="347">
        <v>0</v>
      </c>
      <c r="J119" s="347">
        <v>0</v>
      </c>
      <c r="K119" s="347"/>
      <c r="L119" s="347" t="s">
        <v>4</v>
      </c>
      <c r="M119" s="347" t="s">
        <v>1019</v>
      </c>
      <c r="N119" s="347" t="s">
        <v>1296</v>
      </c>
      <c r="O119" s="347" t="s">
        <v>1011</v>
      </c>
      <c r="P119" s="347" t="s">
        <v>407</v>
      </c>
      <c r="Q119" s="347" t="s">
        <v>408</v>
      </c>
      <c r="R119" s="347"/>
      <c r="S119" s="347" t="s">
        <v>401</v>
      </c>
      <c r="T119" s="347" t="s">
        <v>402</v>
      </c>
      <c r="U119" s="347" t="s">
        <v>40</v>
      </c>
      <c r="V119" s="347" t="s">
        <v>1019</v>
      </c>
      <c r="W119" s="347" t="s">
        <v>46</v>
      </c>
      <c r="X119" s="347">
        <f t="shared" si="1"/>
        <v>20</v>
      </c>
    </row>
    <row r="120" spans="1:24" ht="156.75" x14ac:dyDescent="0.2">
      <c r="A120" s="347" t="s">
        <v>360</v>
      </c>
      <c r="B120" s="347" t="s">
        <v>1577</v>
      </c>
      <c r="C120" s="347">
        <v>0</v>
      </c>
      <c r="D120" s="347">
        <v>0</v>
      </c>
      <c r="E120" s="347">
        <v>1</v>
      </c>
      <c r="F120" s="347">
        <v>0</v>
      </c>
      <c r="G120" s="347">
        <v>0</v>
      </c>
      <c r="H120" s="347">
        <v>0</v>
      </c>
      <c r="I120" s="347">
        <v>0</v>
      </c>
      <c r="J120" s="347">
        <v>1</v>
      </c>
      <c r="K120" s="347"/>
      <c r="L120" s="347" t="s">
        <v>4</v>
      </c>
      <c r="M120" s="347" t="s">
        <v>1019</v>
      </c>
      <c r="N120" s="347" t="s">
        <v>1296</v>
      </c>
      <c r="O120" s="347" t="s">
        <v>1578</v>
      </c>
      <c r="P120" s="347" t="s">
        <v>1128</v>
      </c>
      <c r="Q120" s="347" t="s">
        <v>353</v>
      </c>
      <c r="R120" s="347"/>
      <c r="S120" s="347" t="s">
        <v>1352</v>
      </c>
      <c r="T120" s="347" t="s">
        <v>1350</v>
      </c>
      <c r="U120" s="347" t="s">
        <v>40</v>
      </c>
      <c r="V120" s="347" t="s">
        <v>1019</v>
      </c>
      <c r="W120" s="347" t="s">
        <v>75</v>
      </c>
      <c r="X120" s="347">
        <f t="shared" si="1"/>
        <v>10</v>
      </c>
    </row>
    <row r="121" spans="1:24" ht="171" x14ac:dyDescent="0.2">
      <c r="A121" s="347" t="s">
        <v>364</v>
      </c>
      <c r="B121" s="347" t="s">
        <v>357</v>
      </c>
      <c r="C121" s="347">
        <v>0</v>
      </c>
      <c r="D121" s="347">
        <v>0</v>
      </c>
      <c r="E121" s="347">
        <v>1</v>
      </c>
      <c r="F121" s="347">
        <v>0</v>
      </c>
      <c r="G121" s="347">
        <v>0</v>
      </c>
      <c r="H121" s="347">
        <v>0</v>
      </c>
      <c r="I121" s="347">
        <v>0</v>
      </c>
      <c r="J121" s="347">
        <v>1</v>
      </c>
      <c r="K121" s="347"/>
      <c r="L121" s="347" t="s">
        <v>4</v>
      </c>
      <c r="M121" s="347" t="s">
        <v>1019</v>
      </c>
      <c r="N121" s="347" t="s">
        <v>1296</v>
      </c>
      <c r="O121" s="347" t="s">
        <v>1011</v>
      </c>
      <c r="P121" s="347" t="s">
        <v>358</v>
      </c>
      <c r="Q121" s="347" t="s">
        <v>359</v>
      </c>
      <c r="R121" s="347"/>
      <c r="S121" s="347" t="s">
        <v>1353</v>
      </c>
      <c r="T121" s="347" t="s">
        <v>1350</v>
      </c>
      <c r="U121" s="347" t="s">
        <v>40</v>
      </c>
      <c r="V121" s="347" t="s">
        <v>1019</v>
      </c>
      <c r="W121" s="347" t="s">
        <v>75</v>
      </c>
      <c r="X121" s="347">
        <f t="shared" si="1"/>
        <v>10</v>
      </c>
    </row>
    <row r="122" spans="1:24" ht="114" x14ac:dyDescent="0.2">
      <c r="A122" s="347" t="s">
        <v>368</v>
      </c>
      <c r="B122" s="347" t="s">
        <v>379</v>
      </c>
      <c r="C122" s="347">
        <v>0</v>
      </c>
      <c r="D122" s="347">
        <v>0</v>
      </c>
      <c r="E122" s="347">
        <v>1</v>
      </c>
      <c r="F122" s="347">
        <v>0</v>
      </c>
      <c r="G122" s="347">
        <v>0</v>
      </c>
      <c r="H122" s="347">
        <v>0</v>
      </c>
      <c r="I122" s="347">
        <v>0</v>
      </c>
      <c r="J122" s="347">
        <v>1</v>
      </c>
      <c r="K122" s="347"/>
      <c r="L122" s="347" t="s">
        <v>4</v>
      </c>
      <c r="M122" s="347" t="s">
        <v>1019</v>
      </c>
      <c r="N122" s="347" t="s">
        <v>1296</v>
      </c>
      <c r="O122" s="347" t="s">
        <v>1011</v>
      </c>
      <c r="P122" s="347" t="s">
        <v>380</v>
      </c>
      <c r="Q122" s="347" t="s">
        <v>381</v>
      </c>
      <c r="R122" s="347"/>
      <c r="S122" s="347" t="s">
        <v>1354</v>
      </c>
      <c r="T122" s="347" t="s">
        <v>382</v>
      </c>
      <c r="U122" s="347" t="s">
        <v>40</v>
      </c>
      <c r="V122" s="347" t="s">
        <v>1019</v>
      </c>
      <c r="W122" s="347" t="s">
        <v>75</v>
      </c>
      <c r="X122" s="347">
        <f t="shared" si="1"/>
        <v>10</v>
      </c>
    </row>
    <row r="123" spans="1:24" ht="171" x14ac:dyDescent="0.2">
      <c r="A123" s="347" t="s">
        <v>372</v>
      </c>
      <c r="B123" s="347" t="s">
        <v>1129</v>
      </c>
      <c r="C123" s="347">
        <v>0</v>
      </c>
      <c r="D123" s="347">
        <v>0</v>
      </c>
      <c r="E123" s="347">
        <v>1</v>
      </c>
      <c r="F123" s="347">
        <v>0</v>
      </c>
      <c r="G123" s="347">
        <v>0</v>
      </c>
      <c r="H123" s="347">
        <v>0</v>
      </c>
      <c r="I123" s="347">
        <v>0</v>
      </c>
      <c r="J123" s="347">
        <v>1</v>
      </c>
      <c r="K123" s="347"/>
      <c r="L123" s="347" t="s">
        <v>4</v>
      </c>
      <c r="M123" s="347" t="s">
        <v>1019</v>
      </c>
      <c r="N123" s="347" t="s">
        <v>1296</v>
      </c>
      <c r="O123" s="347" t="s">
        <v>1011</v>
      </c>
      <c r="P123" s="347" t="s">
        <v>1130</v>
      </c>
      <c r="Q123" s="347" t="s">
        <v>1131</v>
      </c>
      <c r="R123" s="347"/>
      <c r="S123" s="347" t="s">
        <v>1355</v>
      </c>
      <c r="T123" s="347" t="s">
        <v>1132</v>
      </c>
      <c r="U123" s="347" t="s">
        <v>40</v>
      </c>
      <c r="V123" s="347" t="s">
        <v>1019</v>
      </c>
      <c r="W123" s="347" t="s">
        <v>75</v>
      </c>
      <c r="X123" s="347">
        <f t="shared" si="1"/>
        <v>10</v>
      </c>
    </row>
    <row r="124" spans="1:24" ht="148.5" customHeight="1" x14ac:dyDescent="0.2">
      <c r="A124" s="347" t="s">
        <v>378</v>
      </c>
      <c r="B124" s="347" t="s">
        <v>1133</v>
      </c>
      <c r="C124" s="347">
        <v>0</v>
      </c>
      <c r="D124" s="347">
        <v>0</v>
      </c>
      <c r="E124" s="347">
        <v>1</v>
      </c>
      <c r="F124" s="347">
        <v>0</v>
      </c>
      <c r="G124" s="347">
        <v>0</v>
      </c>
      <c r="H124" s="347">
        <v>0</v>
      </c>
      <c r="I124" s="347">
        <v>0</v>
      </c>
      <c r="J124" s="347">
        <v>1</v>
      </c>
      <c r="K124" s="347"/>
      <c r="L124" s="347" t="s">
        <v>4</v>
      </c>
      <c r="M124" s="347" t="s">
        <v>1019</v>
      </c>
      <c r="N124" s="347" t="s">
        <v>1296</v>
      </c>
      <c r="O124" s="347" t="s">
        <v>1011</v>
      </c>
      <c r="P124" s="347" t="s">
        <v>1134</v>
      </c>
      <c r="Q124" s="347" t="s">
        <v>1135</v>
      </c>
      <c r="R124" s="347"/>
      <c r="S124" s="347" t="s">
        <v>385</v>
      </c>
      <c r="T124" s="347" t="s">
        <v>1136</v>
      </c>
      <c r="U124" s="347" t="s">
        <v>40</v>
      </c>
      <c r="V124" s="347" t="s">
        <v>1019</v>
      </c>
      <c r="W124" s="347" t="s">
        <v>75</v>
      </c>
      <c r="X124" s="347">
        <f t="shared" si="1"/>
        <v>10</v>
      </c>
    </row>
    <row r="125" spans="1:24" ht="147" customHeight="1" x14ac:dyDescent="0.2">
      <c r="A125" s="347" t="s">
        <v>383</v>
      </c>
      <c r="B125" s="347" t="s">
        <v>391</v>
      </c>
      <c r="C125" s="347">
        <v>0</v>
      </c>
      <c r="D125" s="347">
        <v>0</v>
      </c>
      <c r="E125" s="347">
        <v>1</v>
      </c>
      <c r="F125" s="347">
        <v>0</v>
      </c>
      <c r="G125" s="347">
        <v>0</v>
      </c>
      <c r="H125" s="347">
        <v>0</v>
      </c>
      <c r="I125" s="347">
        <v>0</v>
      </c>
      <c r="J125" s="347">
        <v>1</v>
      </c>
      <c r="K125" s="347"/>
      <c r="L125" s="347" t="s">
        <v>4</v>
      </c>
      <c r="M125" s="347" t="s">
        <v>1019</v>
      </c>
      <c r="N125" s="347" t="s">
        <v>1296</v>
      </c>
      <c r="O125" s="347" t="s">
        <v>1011</v>
      </c>
      <c r="P125" s="347" t="s">
        <v>392</v>
      </c>
      <c r="Q125" s="347" t="s">
        <v>393</v>
      </c>
      <c r="R125" s="347"/>
      <c r="S125" s="347" t="s">
        <v>394</v>
      </c>
      <c r="T125" s="347" t="s">
        <v>395</v>
      </c>
      <c r="U125" s="347" t="s">
        <v>40</v>
      </c>
      <c r="V125" s="347" t="s">
        <v>1019</v>
      </c>
      <c r="W125" s="347" t="s">
        <v>41</v>
      </c>
      <c r="X125" s="347">
        <f t="shared" si="1"/>
        <v>5</v>
      </c>
    </row>
    <row r="126" spans="1:24" ht="156.75" x14ac:dyDescent="0.2">
      <c r="A126" s="347" t="s">
        <v>384</v>
      </c>
      <c r="B126" s="347" t="s">
        <v>1137</v>
      </c>
      <c r="C126" s="347">
        <v>0</v>
      </c>
      <c r="D126" s="347">
        <v>0</v>
      </c>
      <c r="E126" s="347">
        <v>1</v>
      </c>
      <c r="F126" s="347">
        <v>0</v>
      </c>
      <c r="G126" s="347">
        <v>0</v>
      </c>
      <c r="H126" s="347">
        <v>0</v>
      </c>
      <c r="I126" s="347">
        <v>0</v>
      </c>
      <c r="J126" s="347">
        <v>0</v>
      </c>
      <c r="K126" s="347"/>
      <c r="L126" s="347" t="s">
        <v>4</v>
      </c>
      <c r="M126" s="347" t="s">
        <v>1019</v>
      </c>
      <c r="N126" s="347" t="s">
        <v>1296</v>
      </c>
      <c r="O126" s="347" t="s">
        <v>1011</v>
      </c>
      <c r="P126" s="347" t="s">
        <v>399</v>
      </c>
      <c r="Q126" s="347" t="s">
        <v>400</v>
      </c>
      <c r="R126" s="347"/>
      <c r="S126" s="347" t="s">
        <v>401</v>
      </c>
      <c r="T126" s="347" t="s">
        <v>402</v>
      </c>
      <c r="U126" s="347" t="s">
        <v>40</v>
      </c>
      <c r="V126" s="347" t="s">
        <v>1019</v>
      </c>
      <c r="W126" s="347" t="s">
        <v>75</v>
      </c>
      <c r="X126" s="347">
        <f t="shared" si="1"/>
        <v>10</v>
      </c>
    </row>
    <row r="127" spans="1:24" ht="156.75" x14ac:dyDescent="0.2">
      <c r="A127" s="347" t="s">
        <v>386</v>
      </c>
      <c r="B127" s="347" t="s">
        <v>1521</v>
      </c>
      <c r="C127" s="347">
        <v>0</v>
      </c>
      <c r="D127" s="347">
        <v>0</v>
      </c>
      <c r="E127" s="347">
        <v>1</v>
      </c>
      <c r="F127" s="347">
        <v>0</v>
      </c>
      <c r="G127" s="347">
        <v>0</v>
      </c>
      <c r="H127" s="347">
        <v>0</v>
      </c>
      <c r="I127" s="347">
        <v>0</v>
      </c>
      <c r="J127" s="347">
        <v>0</v>
      </c>
      <c r="K127" s="347"/>
      <c r="L127" s="347" t="s">
        <v>4</v>
      </c>
      <c r="M127" s="347" t="s">
        <v>1019</v>
      </c>
      <c r="N127" s="347" t="s">
        <v>1296</v>
      </c>
      <c r="O127" s="347" t="s">
        <v>1011</v>
      </c>
      <c r="P127" s="347" t="s">
        <v>404</v>
      </c>
      <c r="Q127" s="347" t="s">
        <v>1011</v>
      </c>
      <c r="R127" s="347"/>
      <c r="S127" s="347" t="s">
        <v>401</v>
      </c>
      <c r="T127" s="347" t="s">
        <v>405</v>
      </c>
      <c r="U127" s="347" t="s">
        <v>40</v>
      </c>
      <c r="V127" s="347" t="s">
        <v>1019</v>
      </c>
      <c r="W127" s="347" t="s">
        <v>75</v>
      </c>
      <c r="X127" s="347">
        <f t="shared" si="1"/>
        <v>10</v>
      </c>
    </row>
    <row r="128" spans="1:24" ht="185.25" x14ac:dyDescent="0.2">
      <c r="A128" s="347" t="s">
        <v>390</v>
      </c>
      <c r="B128" s="347" t="s">
        <v>1138</v>
      </c>
      <c r="C128" s="347">
        <v>0</v>
      </c>
      <c r="D128" s="347">
        <v>0</v>
      </c>
      <c r="E128" s="347">
        <v>1</v>
      </c>
      <c r="F128" s="347">
        <v>0</v>
      </c>
      <c r="G128" s="347">
        <v>0</v>
      </c>
      <c r="H128" s="347">
        <v>0</v>
      </c>
      <c r="I128" s="347">
        <v>0</v>
      </c>
      <c r="J128" s="347">
        <v>1</v>
      </c>
      <c r="K128" s="347"/>
      <c r="L128" s="347" t="s">
        <v>4</v>
      </c>
      <c r="M128" s="347" t="s">
        <v>1019</v>
      </c>
      <c r="N128" s="347" t="s">
        <v>1296</v>
      </c>
      <c r="O128" s="347" t="s">
        <v>1011</v>
      </c>
      <c r="P128" s="347" t="s">
        <v>1011</v>
      </c>
      <c r="Q128" s="347" t="s">
        <v>414</v>
      </c>
      <c r="R128" s="347"/>
      <c r="S128" s="347" t="s">
        <v>1356</v>
      </c>
      <c r="T128" s="347" t="s">
        <v>1357</v>
      </c>
      <c r="U128" s="347" t="s">
        <v>149</v>
      </c>
      <c r="V128" s="347" t="s">
        <v>1019</v>
      </c>
      <c r="W128" s="347" t="s">
        <v>75</v>
      </c>
      <c r="X128" s="347">
        <f t="shared" si="1"/>
        <v>10</v>
      </c>
    </row>
    <row r="129" spans="1:24" ht="408.95" customHeight="1" x14ac:dyDescent="0.2">
      <c r="A129" s="347" t="s">
        <v>396</v>
      </c>
      <c r="B129" s="347" t="s">
        <v>415</v>
      </c>
      <c r="C129" s="347">
        <v>0</v>
      </c>
      <c r="D129" s="347">
        <v>0</v>
      </c>
      <c r="E129" s="347">
        <v>1</v>
      </c>
      <c r="F129" s="347">
        <v>0</v>
      </c>
      <c r="G129" s="347">
        <v>0</v>
      </c>
      <c r="H129" s="347">
        <v>0</v>
      </c>
      <c r="I129" s="347">
        <v>0</v>
      </c>
      <c r="J129" s="347">
        <v>0</v>
      </c>
      <c r="K129" s="347"/>
      <c r="L129" s="347" t="s">
        <v>4</v>
      </c>
      <c r="M129" s="347" t="s">
        <v>1019</v>
      </c>
      <c r="N129" s="347" t="s">
        <v>1296</v>
      </c>
      <c r="O129" s="347" t="s">
        <v>1011</v>
      </c>
      <c r="P129" s="347" t="s">
        <v>1011</v>
      </c>
      <c r="Q129" s="347" t="s">
        <v>416</v>
      </c>
      <c r="R129" s="347"/>
      <c r="S129" s="347" t="s">
        <v>1446</v>
      </c>
      <c r="T129" s="347" t="s">
        <v>417</v>
      </c>
      <c r="U129" s="347" t="s">
        <v>40</v>
      </c>
      <c r="V129" s="347" t="s">
        <v>1019</v>
      </c>
      <c r="W129" s="347" t="s">
        <v>75</v>
      </c>
      <c r="X129" s="347">
        <f t="shared" ref="X129:X189" si="2">IF($W129="Critical Importance",20,IF($W129="Minor Importance",5,10))</f>
        <v>10</v>
      </c>
    </row>
    <row r="130" spans="1:24" ht="294" customHeight="1" x14ac:dyDescent="0.2">
      <c r="A130" s="347" t="s">
        <v>398</v>
      </c>
      <c r="B130" s="347" t="s">
        <v>1228</v>
      </c>
      <c r="C130" s="347">
        <v>0</v>
      </c>
      <c r="D130" s="347">
        <v>0</v>
      </c>
      <c r="E130" s="347">
        <v>1</v>
      </c>
      <c r="F130" s="347">
        <v>0</v>
      </c>
      <c r="G130" s="347">
        <v>0</v>
      </c>
      <c r="H130" s="347">
        <v>0</v>
      </c>
      <c r="I130" s="347">
        <v>0</v>
      </c>
      <c r="J130" s="347">
        <v>0</v>
      </c>
      <c r="K130" s="347"/>
      <c r="L130" s="347" t="s">
        <v>4</v>
      </c>
      <c r="M130" s="347" t="s">
        <v>1019</v>
      </c>
      <c r="N130" s="347" t="s">
        <v>1296</v>
      </c>
      <c r="O130" s="347" t="s">
        <v>1011</v>
      </c>
      <c r="P130" s="347" t="s">
        <v>334</v>
      </c>
      <c r="Q130" s="347" t="s">
        <v>335</v>
      </c>
      <c r="R130" s="347"/>
      <c r="S130" s="347" t="s">
        <v>1358</v>
      </c>
      <c r="T130" s="347" t="s">
        <v>336</v>
      </c>
      <c r="U130" s="347" t="s">
        <v>40</v>
      </c>
      <c r="V130" s="347" t="s">
        <v>1019</v>
      </c>
      <c r="W130" s="347" t="s">
        <v>41</v>
      </c>
      <c r="X130" s="347">
        <f t="shared" si="2"/>
        <v>5</v>
      </c>
    </row>
    <row r="131" spans="1:24" ht="220.5" customHeight="1" x14ac:dyDescent="0.2">
      <c r="A131" s="347" t="s">
        <v>403</v>
      </c>
      <c r="B131" s="347" t="s">
        <v>361</v>
      </c>
      <c r="C131" s="347">
        <v>0</v>
      </c>
      <c r="D131" s="347">
        <v>0</v>
      </c>
      <c r="E131" s="347">
        <v>1</v>
      </c>
      <c r="F131" s="347">
        <v>0</v>
      </c>
      <c r="G131" s="347">
        <v>0</v>
      </c>
      <c r="H131" s="347">
        <v>0</v>
      </c>
      <c r="I131" s="347">
        <v>0</v>
      </c>
      <c r="J131" s="347">
        <v>1</v>
      </c>
      <c r="K131" s="347"/>
      <c r="L131" s="347" t="s">
        <v>4</v>
      </c>
      <c r="M131" s="347" t="s">
        <v>1019</v>
      </c>
      <c r="N131" s="347" t="s">
        <v>1296</v>
      </c>
      <c r="O131" s="347" t="s">
        <v>1011</v>
      </c>
      <c r="P131" s="347" t="s">
        <v>362</v>
      </c>
      <c r="Q131" s="347" t="s">
        <v>363</v>
      </c>
      <c r="R131" s="347"/>
      <c r="S131" s="347" t="s">
        <v>1359</v>
      </c>
      <c r="T131" s="347" t="s">
        <v>1351</v>
      </c>
      <c r="U131" s="347" t="s">
        <v>40</v>
      </c>
      <c r="V131" s="347" t="s">
        <v>1019</v>
      </c>
      <c r="W131" s="347" t="s">
        <v>41</v>
      </c>
      <c r="X131" s="347">
        <f t="shared" si="2"/>
        <v>5</v>
      </c>
    </row>
    <row r="132" spans="1:24" ht="128.25" x14ac:dyDescent="0.2">
      <c r="A132" s="347" t="s">
        <v>406</v>
      </c>
      <c r="B132" s="347" t="s">
        <v>369</v>
      </c>
      <c r="C132" s="347">
        <v>0</v>
      </c>
      <c r="D132" s="347">
        <v>0</v>
      </c>
      <c r="E132" s="347">
        <v>1</v>
      </c>
      <c r="F132" s="347">
        <v>0</v>
      </c>
      <c r="G132" s="347">
        <v>0</v>
      </c>
      <c r="H132" s="347">
        <v>0</v>
      </c>
      <c r="I132" s="347">
        <v>0</v>
      </c>
      <c r="J132" s="347">
        <v>1</v>
      </c>
      <c r="K132" s="347"/>
      <c r="L132" s="347" t="s">
        <v>4</v>
      </c>
      <c r="M132" s="347" t="s">
        <v>1019</v>
      </c>
      <c r="N132" s="347" t="s">
        <v>1296</v>
      </c>
      <c r="O132" s="347" t="s">
        <v>1011</v>
      </c>
      <c r="P132" s="347" t="s">
        <v>370</v>
      </c>
      <c r="Q132" s="347" t="s">
        <v>371</v>
      </c>
      <c r="R132" s="347"/>
      <c r="S132" s="347" t="s">
        <v>367</v>
      </c>
      <c r="T132" s="347" t="s">
        <v>1351</v>
      </c>
      <c r="U132" s="347" t="s">
        <v>40</v>
      </c>
      <c r="V132" s="347" t="s">
        <v>1019</v>
      </c>
      <c r="W132" s="347" t="s">
        <v>41</v>
      </c>
      <c r="X132" s="347">
        <f t="shared" si="2"/>
        <v>5</v>
      </c>
    </row>
    <row r="133" spans="1:24" ht="185.25" x14ac:dyDescent="0.2">
      <c r="A133" s="347" t="s">
        <v>409</v>
      </c>
      <c r="B133" s="347" t="s">
        <v>373</v>
      </c>
      <c r="C133" s="347">
        <v>0</v>
      </c>
      <c r="D133" s="347">
        <v>0</v>
      </c>
      <c r="E133" s="347">
        <v>1</v>
      </c>
      <c r="F133" s="347">
        <v>0</v>
      </c>
      <c r="G133" s="347">
        <v>0</v>
      </c>
      <c r="H133" s="347">
        <v>0</v>
      </c>
      <c r="I133" s="347">
        <v>0</v>
      </c>
      <c r="J133" s="347">
        <v>1</v>
      </c>
      <c r="K133" s="347"/>
      <c r="L133" s="347" t="s">
        <v>4</v>
      </c>
      <c r="M133" s="347" t="s">
        <v>1019</v>
      </c>
      <c r="N133" s="347" t="s">
        <v>1296</v>
      </c>
      <c r="O133" s="347" t="s">
        <v>374</v>
      </c>
      <c r="P133" s="347" t="s">
        <v>375</v>
      </c>
      <c r="Q133" s="347" t="s">
        <v>376</v>
      </c>
      <c r="R133" s="347"/>
      <c r="S133" s="347" t="s">
        <v>377</v>
      </c>
      <c r="T133" s="347" t="s">
        <v>1360</v>
      </c>
      <c r="U133" s="347" t="s">
        <v>40</v>
      </c>
      <c r="V133" s="347" t="s">
        <v>1019</v>
      </c>
      <c r="W133" s="347" t="s">
        <v>41</v>
      </c>
      <c r="X133" s="347">
        <f t="shared" si="2"/>
        <v>5</v>
      </c>
    </row>
    <row r="134" spans="1:24" ht="242.25" x14ac:dyDescent="0.2">
      <c r="A134" s="347" t="s">
        <v>413</v>
      </c>
      <c r="B134" s="347" t="s">
        <v>1139</v>
      </c>
      <c r="C134" s="347">
        <v>0</v>
      </c>
      <c r="D134" s="347">
        <v>0</v>
      </c>
      <c r="E134" s="347">
        <v>1</v>
      </c>
      <c r="F134" s="347">
        <v>0</v>
      </c>
      <c r="G134" s="347">
        <v>0</v>
      </c>
      <c r="H134" s="347">
        <v>0</v>
      </c>
      <c r="I134" s="347">
        <v>0</v>
      </c>
      <c r="J134" s="347">
        <v>0</v>
      </c>
      <c r="K134" s="347"/>
      <c r="L134" s="347" t="s">
        <v>4</v>
      </c>
      <c r="M134" s="347" t="s">
        <v>1019</v>
      </c>
      <c r="N134" s="347" t="s">
        <v>1296</v>
      </c>
      <c r="O134" s="347" t="s">
        <v>397</v>
      </c>
      <c r="P134" s="347" t="s">
        <v>397</v>
      </c>
      <c r="Q134" s="347" t="s">
        <v>397</v>
      </c>
      <c r="R134" s="347"/>
      <c r="S134" s="347" t="s">
        <v>1361</v>
      </c>
      <c r="T134" s="347" t="s">
        <v>1362</v>
      </c>
      <c r="U134" s="347" t="s">
        <v>40</v>
      </c>
      <c r="V134" s="347" t="s">
        <v>1019</v>
      </c>
      <c r="W134" s="347" t="s">
        <v>41</v>
      </c>
      <c r="X134" s="347">
        <f t="shared" si="2"/>
        <v>5</v>
      </c>
    </row>
    <row r="135" spans="1:24" ht="256.5" x14ac:dyDescent="0.2">
      <c r="A135" s="226" t="s">
        <v>418</v>
      </c>
      <c r="B135" s="347" t="s">
        <v>419</v>
      </c>
      <c r="C135" s="347">
        <v>0</v>
      </c>
      <c r="D135" s="347">
        <v>0</v>
      </c>
      <c r="E135" s="347">
        <v>0</v>
      </c>
      <c r="F135" s="347">
        <v>1</v>
      </c>
      <c r="G135" s="347">
        <v>0</v>
      </c>
      <c r="H135" s="347">
        <v>0</v>
      </c>
      <c r="I135" s="347">
        <v>0</v>
      </c>
      <c r="J135" s="347">
        <v>1</v>
      </c>
      <c r="K135" s="347"/>
      <c r="L135" s="347" t="s">
        <v>1040</v>
      </c>
      <c r="M135" s="347" t="s">
        <v>1019</v>
      </c>
      <c r="N135" s="347" t="s">
        <v>1363</v>
      </c>
      <c r="O135" s="347" t="s">
        <v>420</v>
      </c>
      <c r="P135" s="347" t="s">
        <v>420</v>
      </c>
      <c r="Q135" s="347" t="s">
        <v>420</v>
      </c>
      <c r="R135" s="347"/>
      <c r="S135" s="347" t="s">
        <v>421</v>
      </c>
      <c r="T135" s="347" t="s">
        <v>422</v>
      </c>
      <c r="U135" s="347" t="s">
        <v>1040</v>
      </c>
      <c r="V135" s="347" t="s">
        <v>1019</v>
      </c>
      <c r="W135" s="347"/>
      <c r="X135" s="347"/>
    </row>
    <row r="136" spans="1:24" ht="409.5" x14ac:dyDescent="0.2">
      <c r="A136" s="347" t="s">
        <v>423</v>
      </c>
      <c r="B136" s="347" t="s">
        <v>1515</v>
      </c>
      <c r="C136" s="347">
        <v>0</v>
      </c>
      <c r="D136" s="347">
        <v>0</v>
      </c>
      <c r="E136" s="347">
        <v>0</v>
      </c>
      <c r="F136" s="347">
        <v>1</v>
      </c>
      <c r="G136" s="347">
        <v>0</v>
      </c>
      <c r="H136" s="347">
        <v>0</v>
      </c>
      <c r="I136" s="347">
        <v>0</v>
      </c>
      <c r="J136" s="347">
        <v>0</v>
      </c>
      <c r="K136" s="347"/>
      <c r="L136" s="347" t="s">
        <v>163</v>
      </c>
      <c r="M136" s="347" t="s">
        <v>1019</v>
      </c>
      <c r="N136" s="347" t="s">
        <v>1011</v>
      </c>
      <c r="O136" s="347" t="s">
        <v>1011</v>
      </c>
      <c r="P136" s="347" t="s">
        <v>1011</v>
      </c>
      <c r="Q136" s="347" t="s">
        <v>424</v>
      </c>
      <c r="R136" s="347"/>
      <c r="S136" s="347" t="s">
        <v>1364</v>
      </c>
      <c r="T136" s="347" t="s">
        <v>1365</v>
      </c>
      <c r="U136" s="347" t="s">
        <v>40</v>
      </c>
      <c r="V136" s="347" t="s">
        <v>1019</v>
      </c>
      <c r="W136" s="347" t="s">
        <v>75</v>
      </c>
      <c r="X136" s="347">
        <f t="shared" si="2"/>
        <v>10</v>
      </c>
    </row>
    <row r="137" spans="1:24" ht="339.75" customHeight="1" x14ac:dyDescent="0.2">
      <c r="A137" s="226" t="s">
        <v>425</v>
      </c>
      <c r="B137" s="347" t="s">
        <v>1140</v>
      </c>
      <c r="C137" s="347">
        <v>0</v>
      </c>
      <c r="D137" s="347">
        <v>0</v>
      </c>
      <c r="E137" s="347">
        <v>0</v>
      </c>
      <c r="F137" s="347">
        <v>1</v>
      </c>
      <c r="G137" s="347">
        <v>0</v>
      </c>
      <c r="H137" s="347">
        <v>0</v>
      </c>
      <c r="I137" s="347">
        <v>0</v>
      </c>
      <c r="J137" s="347">
        <v>1</v>
      </c>
      <c r="K137" s="347"/>
      <c r="L137" s="347" t="s">
        <v>163</v>
      </c>
      <c r="M137" s="347" t="s">
        <v>1019</v>
      </c>
      <c r="N137" s="347" t="s">
        <v>1011</v>
      </c>
      <c r="O137" s="347" t="s">
        <v>426</v>
      </c>
      <c r="P137" s="347" t="s">
        <v>427</v>
      </c>
      <c r="Q137" s="347" t="s">
        <v>426</v>
      </c>
      <c r="R137" s="347"/>
      <c r="S137" s="347" t="s">
        <v>1366</v>
      </c>
      <c r="T137" s="347" t="s">
        <v>1367</v>
      </c>
      <c r="U137" s="347" t="s">
        <v>40</v>
      </c>
      <c r="V137" s="347" t="s">
        <v>1019</v>
      </c>
      <c r="W137" s="347" t="s">
        <v>75</v>
      </c>
      <c r="X137" s="347">
        <f t="shared" si="2"/>
        <v>10</v>
      </c>
    </row>
    <row r="138" spans="1:24" ht="186" customHeight="1" x14ac:dyDescent="0.2">
      <c r="A138" s="347" t="s">
        <v>428</v>
      </c>
      <c r="B138" s="347" t="s">
        <v>429</v>
      </c>
      <c r="C138" s="347">
        <v>0</v>
      </c>
      <c r="D138" s="347">
        <v>0</v>
      </c>
      <c r="E138" s="347">
        <v>0</v>
      </c>
      <c r="F138" s="347">
        <v>1</v>
      </c>
      <c r="G138" s="347">
        <v>0</v>
      </c>
      <c r="H138" s="347">
        <v>0</v>
      </c>
      <c r="I138" s="347">
        <v>0</v>
      </c>
      <c r="J138" s="347">
        <v>0</v>
      </c>
      <c r="K138" s="347"/>
      <c r="L138" s="347" t="s">
        <v>163</v>
      </c>
      <c r="M138" s="347" t="s">
        <v>1019</v>
      </c>
      <c r="N138" s="347" t="s">
        <v>1011</v>
      </c>
      <c r="O138" s="347" t="s">
        <v>1011</v>
      </c>
      <c r="P138" s="347" t="s">
        <v>430</v>
      </c>
      <c r="Q138" s="347" t="s">
        <v>431</v>
      </c>
      <c r="R138" s="347"/>
      <c r="S138" s="347" t="s">
        <v>1447</v>
      </c>
      <c r="T138" s="347" t="s">
        <v>432</v>
      </c>
      <c r="U138" s="347" t="s">
        <v>40</v>
      </c>
      <c r="V138" s="347" t="s">
        <v>1019</v>
      </c>
      <c r="W138" s="347" t="s">
        <v>75</v>
      </c>
      <c r="X138" s="347">
        <f t="shared" si="2"/>
        <v>10</v>
      </c>
    </row>
    <row r="139" spans="1:24" ht="185.25" x14ac:dyDescent="0.2">
      <c r="A139" s="226" t="s">
        <v>433</v>
      </c>
      <c r="B139" s="347" t="s">
        <v>1520</v>
      </c>
      <c r="C139" s="347">
        <v>0</v>
      </c>
      <c r="D139" s="347">
        <v>0</v>
      </c>
      <c r="E139" s="347">
        <v>0</v>
      </c>
      <c r="F139" s="347">
        <v>1</v>
      </c>
      <c r="G139" s="347">
        <v>0</v>
      </c>
      <c r="H139" s="347">
        <v>0</v>
      </c>
      <c r="I139" s="347">
        <v>0</v>
      </c>
      <c r="J139" s="347">
        <v>0</v>
      </c>
      <c r="K139" s="347"/>
      <c r="L139" s="347" t="s">
        <v>163</v>
      </c>
      <c r="M139" s="347" t="s">
        <v>1019</v>
      </c>
      <c r="N139" s="347" t="s">
        <v>1011</v>
      </c>
      <c r="O139" s="347" t="s">
        <v>1011</v>
      </c>
      <c r="P139" s="347" t="s">
        <v>1141</v>
      </c>
      <c r="Q139" s="347" t="s">
        <v>434</v>
      </c>
      <c r="R139" s="347"/>
      <c r="S139" s="347" t="s">
        <v>1368</v>
      </c>
      <c r="T139" s="347" t="s">
        <v>435</v>
      </c>
      <c r="U139" s="347" t="s">
        <v>40</v>
      </c>
      <c r="V139" s="347" t="s">
        <v>1019</v>
      </c>
      <c r="W139" s="347" t="s">
        <v>75</v>
      </c>
      <c r="X139" s="347">
        <f t="shared" si="2"/>
        <v>10</v>
      </c>
    </row>
    <row r="140" spans="1:24" ht="185.25" x14ac:dyDescent="0.2">
      <c r="A140" s="347" t="s">
        <v>436</v>
      </c>
      <c r="B140" s="347" t="s">
        <v>1041</v>
      </c>
      <c r="C140" s="347">
        <v>0</v>
      </c>
      <c r="D140" s="347">
        <v>0</v>
      </c>
      <c r="E140" s="347">
        <v>0</v>
      </c>
      <c r="F140" s="347">
        <v>1</v>
      </c>
      <c r="G140" s="347">
        <v>0</v>
      </c>
      <c r="H140" s="347">
        <v>0</v>
      </c>
      <c r="I140" s="347">
        <v>0</v>
      </c>
      <c r="J140" s="347">
        <v>0</v>
      </c>
      <c r="K140" s="347"/>
      <c r="L140" s="347" t="s">
        <v>163</v>
      </c>
      <c r="M140" s="347" t="s">
        <v>1019</v>
      </c>
      <c r="N140" s="347" t="s">
        <v>1011</v>
      </c>
      <c r="O140" s="347" t="s">
        <v>1011</v>
      </c>
      <c r="P140" s="347" t="s">
        <v>437</v>
      </c>
      <c r="Q140" s="347" t="s">
        <v>1011</v>
      </c>
      <c r="R140" s="347"/>
      <c r="S140" s="347" t="s">
        <v>1368</v>
      </c>
      <c r="T140" s="347" t="s">
        <v>435</v>
      </c>
      <c r="U140" s="347" t="s">
        <v>40</v>
      </c>
      <c r="V140" s="347" t="s">
        <v>1019</v>
      </c>
      <c r="W140" s="347" t="s">
        <v>46</v>
      </c>
      <c r="X140" s="347">
        <f t="shared" si="2"/>
        <v>20</v>
      </c>
    </row>
    <row r="141" spans="1:24" ht="214.5" customHeight="1" x14ac:dyDescent="0.2">
      <c r="A141" s="226" t="s">
        <v>438</v>
      </c>
      <c r="B141" s="347" t="s">
        <v>439</v>
      </c>
      <c r="C141" s="347">
        <v>0</v>
      </c>
      <c r="D141" s="347">
        <v>0</v>
      </c>
      <c r="E141" s="347">
        <v>0</v>
      </c>
      <c r="F141" s="347">
        <v>1</v>
      </c>
      <c r="G141" s="347">
        <v>0</v>
      </c>
      <c r="H141" s="347">
        <v>0</v>
      </c>
      <c r="I141" s="347">
        <v>0</v>
      </c>
      <c r="J141" s="347">
        <v>0</v>
      </c>
      <c r="K141" s="347"/>
      <c r="L141" s="347" t="s">
        <v>163</v>
      </c>
      <c r="M141" s="347" t="s">
        <v>1019</v>
      </c>
      <c r="N141" s="347" t="s">
        <v>1011</v>
      </c>
      <c r="O141" s="347" t="s">
        <v>1011</v>
      </c>
      <c r="P141" s="347" t="s">
        <v>440</v>
      </c>
      <c r="Q141" s="347" t="s">
        <v>441</v>
      </c>
      <c r="R141" s="347"/>
      <c r="S141" s="347" t="s">
        <v>1369</v>
      </c>
      <c r="T141" s="347" t="s">
        <v>442</v>
      </c>
      <c r="U141" s="347" t="s">
        <v>40</v>
      </c>
      <c r="V141" s="347" t="s">
        <v>1019</v>
      </c>
      <c r="W141" s="347" t="s">
        <v>75</v>
      </c>
      <c r="X141" s="347">
        <f t="shared" si="2"/>
        <v>10</v>
      </c>
    </row>
    <row r="142" spans="1:24" ht="85.5" x14ac:dyDescent="0.2">
      <c r="A142" s="347" t="s">
        <v>443</v>
      </c>
      <c r="B142" s="347" t="s">
        <v>446</v>
      </c>
      <c r="C142" s="347">
        <v>0</v>
      </c>
      <c r="D142" s="347">
        <v>0</v>
      </c>
      <c r="E142" s="347">
        <v>0</v>
      </c>
      <c r="F142" s="347">
        <v>1</v>
      </c>
      <c r="G142" s="347">
        <v>0</v>
      </c>
      <c r="H142" s="347">
        <v>0</v>
      </c>
      <c r="I142" s="347">
        <v>0</v>
      </c>
      <c r="J142" s="347">
        <v>0</v>
      </c>
      <c r="K142" s="347"/>
      <c r="L142" s="347" t="s">
        <v>163</v>
      </c>
      <c r="M142" s="347" t="s">
        <v>1019</v>
      </c>
      <c r="N142" s="347" t="s">
        <v>1011</v>
      </c>
      <c r="O142" s="347" t="s">
        <v>1011</v>
      </c>
      <c r="P142" s="347" t="s">
        <v>447</v>
      </c>
      <c r="Q142" s="347" t="s">
        <v>448</v>
      </c>
      <c r="R142" s="347"/>
      <c r="S142" s="347" t="s">
        <v>449</v>
      </c>
      <c r="T142" s="347" t="s">
        <v>1370</v>
      </c>
      <c r="U142" s="347" t="s">
        <v>40</v>
      </c>
      <c r="V142" s="347" t="s">
        <v>1019</v>
      </c>
      <c r="W142" s="347" t="s">
        <v>75</v>
      </c>
      <c r="X142" s="347">
        <f t="shared" si="2"/>
        <v>10</v>
      </c>
    </row>
    <row r="143" spans="1:24" ht="85.5" x14ac:dyDescent="0.2">
      <c r="A143" s="226" t="s">
        <v>444</v>
      </c>
      <c r="B143" s="347" t="s">
        <v>451</v>
      </c>
      <c r="C143" s="347">
        <v>0</v>
      </c>
      <c r="D143" s="347">
        <v>0</v>
      </c>
      <c r="E143" s="347">
        <v>0</v>
      </c>
      <c r="F143" s="347">
        <v>1</v>
      </c>
      <c r="G143" s="347">
        <v>0</v>
      </c>
      <c r="H143" s="347">
        <v>0</v>
      </c>
      <c r="I143" s="347">
        <v>0</v>
      </c>
      <c r="J143" s="347">
        <v>0</v>
      </c>
      <c r="K143" s="347"/>
      <c r="L143" s="347" t="s">
        <v>163</v>
      </c>
      <c r="M143" s="347" t="s">
        <v>1019</v>
      </c>
      <c r="N143" s="347" t="s">
        <v>1011</v>
      </c>
      <c r="O143" s="347" t="s">
        <v>1011</v>
      </c>
      <c r="P143" s="347" t="s">
        <v>452</v>
      </c>
      <c r="Q143" s="347" t="s">
        <v>1142</v>
      </c>
      <c r="R143" s="347"/>
      <c r="S143" s="347" t="s">
        <v>449</v>
      </c>
      <c r="T143" s="347" t="s">
        <v>1370</v>
      </c>
      <c r="U143" s="347" t="s">
        <v>40</v>
      </c>
      <c r="V143" s="347" t="s">
        <v>1019</v>
      </c>
      <c r="W143" s="347" t="s">
        <v>75</v>
      </c>
      <c r="X143" s="347">
        <f t="shared" si="2"/>
        <v>10</v>
      </c>
    </row>
    <row r="144" spans="1:24" ht="192.75" customHeight="1" x14ac:dyDescent="0.2">
      <c r="A144" s="347" t="s">
        <v>445</v>
      </c>
      <c r="B144" s="347" t="s">
        <v>1042</v>
      </c>
      <c r="C144" s="347">
        <v>0</v>
      </c>
      <c r="D144" s="347">
        <v>0</v>
      </c>
      <c r="E144" s="347">
        <v>0</v>
      </c>
      <c r="F144" s="347">
        <v>1</v>
      </c>
      <c r="G144" s="347">
        <v>0</v>
      </c>
      <c r="H144" s="347">
        <v>0</v>
      </c>
      <c r="I144" s="347">
        <v>0</v>
      </c>
      <c r="J144" s="347">
        <v>0</v>
      </c>
      <c r="K144" s="347"/>
      <c r="L144" s="347" t="s">
        <v>163</v>
      </c>
      <c r="M144" s="347" t="s">
        <v>1019</v>
      </c>
      <c r="N144" s="347" t="s">
        <v>1011</v>
      </c>
      <c r="O144" s="347" t="s">
        <v>1011</v>
      </c>
      <c r="P144" s="347" t="s">
        <v>454</v>
      </c>
      <c r="Q144" s="347" t="s">
        <v>455</v>
      </c>
      <c r="R144" s="347"/>
      <c r="S144" s="347" t="s">
        <v>1143</v>
      </c>
      <c r="T144" s="347" t="s">
        <v>456</v>
      </c>
      <c r="U144" s="347" t="s">
        <v>40</v>
      </c>
      <c r="V144" s="347" t="s">
        <v>1019</v>
      </c>
      <c r="W144" s="347" t="s">
        <v>46</v>
      </c>
      <c r="X144" s="347">
        <f t="shared" si="2"/>
        <v>20</v>
      </c>
    </row>
    <row r="145" spans="1:24" ht="142.5" x14ac:dyDescent="0.2">
      <c r="A145" s="226" t="s">
        <v>450</v>
      </c>
      <c r="B145" s="347" t="s">
        <v>1527</v>
      </c>
      <c r="C145" s="347">
        <v>0</v>
      </c>
      <c r="D145" s="347">
        <v>0</v>
      </c>
      <c r="E145" s="347">
        <v>0</v>
      </c>
      <c r="F145" s="347">
        <v>1</v>
      </c>
      <c r="G145" s="347">
        <v>0</v>
      </c>
      <c r="H145" s="347">
        <v>0</v>
      </c>
      <c r="I145" s="347">
        <v>0</v>
      </c>
      <c r="J145" s="347">
        <v>0</v>
      </c>
      <c r="K145" s="347"/>
      <c r="L145" s="347" t="s">
        <v>163</v>
      </c>
      <c r="M145" s="347" t="s">
        <v>1019</v>
      </c>
      <c r="N145" s="347" t="s">
        <v>1011</v>
      </c>
      <c r="O145" s="347"/>
      <c r="P145" s="347" t="s">
        <v>1011</v>
      </c>
      <c r="Q145" s="347" t="s">
        <v>1011</v>
      </c>
      <c r="R145" s="347"/>
      <c r="S145" s="347" t="s">
        <v>1144</v>
      </c>
      <c r="T145" s="347" t="s">
        <v>458</v>
      </c>
      <c r="U145" s="347" t="s">
        <v>40</v>
      </c>
      <c r="V145" s="347" t="s">
        <v>1019</v>
      </c>
      <c r="W145" s="347" t="s">
        <v>75</v>
      </c>
      <c r="X145" s="347">
        <f t="shared" si="2"/>
        <v>10</v>
      </c>
    </row>
    <row r="146" spans="1:24" ht="85.5" x14ac:dyDescent="0.2">
      <c r="A146" s="347" t="s">
        <v>453</v>
      </c>
      <c r="B146" s="347" t="s">
        <v>460</v>
      </c>
      <c r="C146" s="347">
        <v>0</v>
      </c>
      <c r="D146" s="347">
        <v>0</v>
      </c>
      <c r="E146" s="347">
        <v>0</v>
      </c>
      <c r="F146" s="347">
        <v>1</v>
      </c>
      <c r="G146" s="347">
        <v>0</v>
      </c>
      <c r="H146" s="347">
        <v>0</v>
      </c>
      <c r="I146" s="347">
        <v>0</v>
      </c>
      <c r="J146" s="347">
        <v>0</v>
      </c>
      <c r="K146" s="347"/>
      <c r="L146" s="347" t="s">
        <v>163</v>
      </c>
      <c r="M146" s="347" t="s">
        <v>1019</v>
      </c>
      <c r="N146" s="347" t="s">
        <v>1011</v>
      </c>
      <c r="O146" s="347" t="s">
        <v>461</v>
      </c>
      <c r="P146" s="347" t="s">
        <v>461</v>
      </c>
      <c r="Q146" s="347" t="s">
        <v>462</v>
      </c>
      <c r="R146" s="347"/>
      <c r="S146" s="347" t="s">
        <v>449</v>
      </c>
      <c r="T146" s="347" t="s">
        <v>1370</v>
      </c>
      <c r="U146" s="347" t="s">
        <v>40</v>
      </c>
      <c r="V146" s="347" t="s">
        <v>1019</v>
      </c>
      <c r="W146" s="347" t="s">
        <v>75</v>
      </c>
      <c r="X146" s="347">
        <f t="shared" si="2"/>
        <v>10</v>
      </c>
    </row>
    <row r="147" spans="1:24" ht="85.5" x14ac:dyDescent="0.2">
      <c r="A147" s="226" t="s">
        <v>457</v>
      </c>
      <c r="B147" s="347" t="s">
        <v>464</v>
      </c>
      <c r="C147" s="347">
        <v>0</v>
      </c>
      <c r="D147" s="347">
        <v>0</v>
      </c>
      <c r="E147" s="347">
        <v>0</v>
      </c>
      <c r="F147" s="347">
        <v>1</v>
      </c>
      <c r="G147" s="347">
        <v>0</v>
      </c>
      <c r="H147" s="347">
        <v>0</v>
      </c>
      <c r="I147" s="347">
        <v>0</v>
      </c>
      <c r="J147" s="347">
        <v>0</v>
      </c>
      <c r="K147" s="347"/>
      <c r="L147" s="347" t="s">
        <v>163</v>
      </c>
      <c r="M147" s="347" t="s">
        <v>1019</v>
      </c>
      <c r="N147" s="347" t="s">
        <v>1011</v>
      </c>
      <c r="O147" s="347" t="s">
        <v>1011</v>
      </c>
      <c r="P147" s="347" t="s">
        <v>465</v>
      </c>
      <c r="Q147" s="347" t="s">
        <v>466</v>
      </c>
      <c r="R147" s="347"/>
      <c r="S147" s="347" t="s">
        <v>449</v>
      </c>
      <c r="T147" s="347" t="s">
        <v>1370</v>
      </c>
      <c r="U147" s="347" t="s">
        <v>40</v>
      </c>
      <c r="V147" s="347" t="s">
        <v>1019</v>
      </c>
      <c r="W147" s="347" t="s">
        <v>75</v>
      </c>
      <c r="X147" s="347">
        <f t="shared" si="2"/>
        <v>10</v>
      </c>
    </row>
    <row r="148" spans="1:24" ht="114" x14ac:dyDescent="0.2">
      <c r="A148" s="347" t="s">
        <v>459</v>
      </c>
      <c r="B148" s="347" t="s">
        <v>1516</v>
      </c>
      <c r="C148" s="347">
        <v>0</v>
      </c>
      <c r="D148" s="347">
        <v>0</v>
      </c>
      <c r="E148" s="347">
        <v>0</v>
      </c>
      <c r="F148" s="347">
        <v>1</v>
      </c>
      <c r="G148" s="347">
        <v>0</v>
      </c>
      <c r="H148" s="347">
        <v>0</v>
      </c>
      <c r="I148" s="347">
        <v>0</v>
      </c>
      <c r="J148" s="347">
        <v>0</v>
      </c>
      <c r="K148" s="347"/>
      <c r="L148" s="347" t="s">
        <v>163</v>
      </c>
      <c r="M148" s="347" t="s">
        <v>1019</v>
      </c>
      <c r="N148" s="347" t="s">
        <v>1011</v>
      </c>
      <c r="O148" s="347" t="s">
        <v>1011</v>
      </c>
      <c r="P148" s="347" t="s">
        <v>468</v>
      </c>
      <c r="Q148" s="347" t="s">
        <v>469</v>
      </c>
      <c r="R148" s="347"/>
      <c r="S148" s="347" t="s">
        <v>257</v>
      </c>
      <c r="T148" s="347" t="s">
        <v>1325</v>
      </c>
      <c r="U148" s="347" t="s">
        <v>40</v>
      </c>
      <c r="V148" s="347" t="s">
        <v>1019</v>
      </c>
      <c r="W148" s="347" t="s">
        <v>75</v>
      </c>
      <c r="X148" s="347">
        <f t="shared" si="2"/>
        <v>10</v>
      </c>
    </row>
    <row r="149" spans="1:24" ht="71.25" x14ac:dyDescent="0.2">
      <c r="A149" s="226" t="s">
        <v>463</v>
      </c>
      <c r="B149" s="347" t="s">
        <v>1145</v>
      </c>
      <c r="C149" s="347">
        <v>0</v>
      </c>
      <c r="D149" s="347">
        <v>0</v>
      </c>
      <c r="E149" s="347">
        <v>0</v>
      </c>
      <c r="F149" s="347">
        <v>1</v>
      </c>
      <c r="G149" s="347">
        <v>0</v>
      </c>
      <c r="H149" s="347">
        <v>0</v>
      </c>
      <c r="I149" s="347">
        <v>0</v>
      </c>
      <c r="J149" s="347">
        <v>0</v>
      </c>
      <c r="K149" s="347"/>
      <c r="L149" s="347" t="s">
        <v>163</v>
      </c>
      <c r="M149" s="347" t="s">
        <v>1019</v>
      </c>
      <c r="N149" s="347" t="s">
        <v>1011</v>
      </c>
      <c r="O149" s="347" t="s">
        <v>1011</v>
      </c>
      <c r="P149" s="347" t="s">
        <v>470</v>
      </c>
      <c r="Q149" s="347" t="s">
        <v>1011</v>
      </c>
      <c r="R149" s="347"/>
      <c r="S149" s="347" t="s">
        <v>471</v>
      </c>
      <c r="T149" s="347" t="s">
        <v>1371</v>
      </c>
      <c r="U149" s="347" t="s">
        <v>40</v>
      </c>
      <c r="V149" s="347" t="s">
        <v>1019</v>
      </c>
      <c r="W149" s="347" t="s">
        <v>75</v>
      </c>
      <c r="X149" s="347">
        <f t="shared" si="2"/>
        <v>10</v>
      </c>
    </row>
    <row r="150" spans="1:24" ht="242.25" x14ac:dyDescent="0.2">
      <c r="A150" s="347" t="s">
        <v>467</v>
      </c>
      <c r="B150" s="347" t="s">
        <v>1372</v>
      </c>
      <c r="C150" s="347">
        <v>0</v>
      </c>
      <c r="D150" s="347">
        <v>0</v>
      </c>
      <c r="E150" s="347">
        <v>0</v>
      </c>
      <c r="F150" s="347">
        <v>1</v>
      </c>
      <c r="G150" s="347">
        <v>0</v>
      </c>
      <c r="H150" s="347">
        <v>0</v>
      </c>
      <c r="I150" s="347">
        <v>0</v>
      </c>
      <c r="J150" s="347">
        <v>0</v>
      </c>
      <c r="K150" s="347"/>
      <c r="L150" s="347" t="s">
        <v>163</v>
      </c>
      <c r="M150" s="347" t="s">
        <v>1019</v>
      </c>
      <c r="N150" s="347" t="s">
        <v>1011</v>
      </c>
      <c r="O150" s="347" t="s">
        <v>472</v>
      </c>
      <c r="P150" s="347" t="s">
        <v>472</v>
      </c>
      <c r="Q150" s="347" t="s">
        <v>472</v>
      </c>
      <c r="R150" s="347"/>
      <c r="S150" s="347" t="s">
        <v>1361</v>
      </c>
      <c r="T150" s="347" t="s">
        <v>1362</v>
      </c>
      <c r="U150" s="347" t="s">
        <v>149</v>
      </c>
      <c r="V150" s="347" t="s">
        <v>1019</v>
      </c>
      <c r="W150" s="347" t="s">
        <v>75</v>
      </c>
      <c r="X150" s="347">
        <f t="shared" si="2"/>
        <v>10</v>
      </c>
    </row>
    <row r="151" spans="1:24" ht="183" customHeight="1" x14ac:dyDescent="0.2">
      <c r="A151" s="347" t="s">
        <v>473</v>
      </c>
      <c r="B151" s="347" t="s">
        <v>1043</v>
      </c>
      <c r="C151" s="347">
        <v>0</v>
      </c>
      <c r="D151" s="347">
        <v>0</v>
      </c>
      <c r="E151" s="347">
        <v>0</v>
      </c>
      <c r="F151" s="347">
        <v>1</v>
      </c>
      <c r="G151" s="347">
        <v>0</v>
      </c>
      <c r="H151" s="347">
        <v>0</v>
      </c>
      <c r="I151" s="347">
        <v>0</v>
      </c>
      <c r="J151" s="347">
        <v>1</v>
      </c>
      <c r="K151" s="347"/>
      <c r="L151" s="347" t="s">
        <v>163</v>
      </c>
      <c r="M151" s="347" t="s">
        <v>1019</v>
      </c>
      <c r="N151" s="347" t="s">
        <v>1296</v>
      </c>
      <c r="O151" s="347" t="s">
        <v>1011</v>
      </c>
      <c r="P151" s="347" t="s">
        <v>474</v>
      </c>
      <c r="Q151" s="347" t="s">
        <v>475</v>
      </c>
      <c r="R151" s="347"/>
      <c r="S151" s="347" t="s">
        <v>1499</v>
      </c>
      <c r="T151" s="347" t="s">
        <v>1500</v>
      </c>
      <c r="U151" s="347" t="s">
        <v>40</v>
      </c>
      <c r="V151" s="347" t="s">
        <v>1019</v>
      </c>
      <c r="W151" s="347" t="s">
        <v>46</v>
      </c>
      <c r="X151" s="347">
        <f t="shared" si="2"/>
        <v>20</v>
      </c>
    </row>
    <row r="152" spans="1:24" ht="181.5" customHeight="1" x14ac:dyDescent="0.2">
      <c r="A152" s="347" t="s">
        <v>476</v>
      </c>
      <c r="B152" s="347" t="s">
        <v>1044</v>
      </c>
      <c r="C152" s="347">
        <v>0</v>
      </c>
      <c r="D152" s="347">
        <v>0</v>
      </c>
      <c r="E152" s="347">
        <v>0</v>
      </c>
      <c r="F152" s="347">
        <v>1</v>
      </c>
      <c r="G152" s="347">
        <v>0</v>
      </c>
      <c r="H152" s="347">
        <v>0</v>
      </c>
      <c r="I152" s="347">
        <v>0</v>
      </c>
      <c r="J152" s="347">
        <v>1</v>
      </c>
      <c r="K152" s="347"/>
      <c r="L152" s="347" t="s">
        <v>163</v>
      </c>
      <c r="M152" s="347" t="s">
        <v>1019</v>
      </c>
      <c r="N152" s="347" t="s">
        <v>1296</v>
      </c>
      <c r="O152" s="347" t="s">
        <v>1011</v>
      </c>
      <c r="P152" s="347" t="s">
        <v>482</v>
      </c>
      <c r="Q152" s="347" t="s">
        <v>483</v>
      </c>
      <c r="R152" s="347"/>
      <c r="S152" s="347" t="s">
        <v>484</v>
      </c>
      <c r="T152" s="347" t="s">
        <v>485</v>
      </c>
      <c r="U152" s="347" t="s">
        <v>40</v>
      </c>
      <c r="V152" s="347" t="s">
        <v>1019</v>
      </c>
      <c r="W152" s="347" t="s">
        <v>46</v>
      </c>
      <c r="X152" s="347">
        <f t="shared" si="2"/>
        <v>20</v>
      </c>
    </row>
    <row r="153" spans="1:24" ht="204.75" customHeight="1" x14ac:dyDescent="0.2">
      <c r="A153" s="347" t="s">
        <v>481</v>
      </c>
      <c r="B153" s="347" t="s">
        <v>1146</v>
      </c>
      <c r="C153" s="347">
        <v>0</v>
      </c>
      <c r="D153" s="347">
        <v>0</v>
      </c>
      <c r="E153" s="347">
        <v>0</v>
      </c>
      <c r="F153" s="347">
        <v>1</v>
      </c>
      <c r="G153" s="347">
        <v>0</v>
      </c>
      <c r="H153" s="347">
        <v>0</v>
      </c>
      <c r="I153" s="347">
        <v>0</v>
      </c>
      <c r="J153" s="347">
        <v>1</v>
      </c>
      <c r="K153" s="347"/>
      <c r="L153" s="347" t="s">
        <v>163</v>
      </c>
      <c r="M153" s="347" t="s">
        <v>1019</v>
      </c>
      <c r="N153" s="347" t="s">
        <v>1296</v>
      </c>
      <c r="O153" s="347" t="s">
        <v>1011</v>
      </c>
      <c r="P153" s="347" t="s">
        <v>1147</v>
      </c>
      <c r="Q153" s="347" t="s">
        <v>487</v>
      </c>
      <c r="R153" s="347"/>
      <c r="S153" s="347" t="s">
        <v>1373</v>
      </c>
      <c r="T153" s="347" t="s">
        <v>488</v>
      </c>
      <c r="U153" s="347" t="s">
        <v>40</v>
      </c>
      <c r="V153" s="347" t="s">
        <v>1019</v>
      </c>
      <c r="W153" s="347" t="s">
        <v>46</v>
      </c>
      <c r="X153" s="347">
        <f t="shared" si="2"/>
        <v>20</v>
      </c>
    </row>
    <row r="154" spans="1:24" ht="203.25" customHeight="1" x14ac:dyDescent="0.2">
      <c r="A154" s="347" t="s">
        <v>486</v>
      </c>
      <c r="B154" s="347" t="s">
        <v>1045</v>
      </c>
      <c r="C154" s="347">
        <v>0</v>
      </c>
      <c r="D154" s="347">
        <v>0</v>
      </c>
      <c r="E154" s="347">
        <v>0</v>
      </c>
      <c r="F154" s="347">
        <v>1</v>
      </c>
      <c r="G154" s="347">
        <v>0</v>
      </c>
      <c r="H154" s="347">
        <v>0</v>
      </c>
      <c r="I154" s="347">
        <v>0</v>
      </c>
      <c r="J154" s="347">
        <v>0</v>
      </c>
      <c r="K154" s="347"/>
      <c r="L154" s="347" t="s">
        <v>163</v>
      </c>
      <c r="M154" s="347" t="s">
        <v>1019</v>
      </c>
      <c r="N154" s="347" t="s">
        <v>1296</v>
      </c>
      <c r="O154" s="347" t="s">
        <v>1011</v>
      </c>
      <c r="P154" s="347" t="s">
        <v>1148</v>
      </c>
      <c r="Q154" s="347" t="s">
        <v>492</v>
      </c>
      <c r="R154" s="347" t="s">
        <v>1586</v>
      </c>
      <c r="S154" s="347" t="s">
        <v>1373</v>
      </c>
      <c r="T154" s="347" t="s">
        <v>1374</v>
      </c>
      <c r="U154" s="347" t="s">
        <v>40</v>
      </c>
      <c r="V154" s="347" t="s">
        <v>1019</v>
      </c>
      <c r="W154" s="347" t="s">
        <v>46</v>
      </c>
      <c r="X154" s="347">
        <f t="shared" si="2"/>
        <v>20</v>
      </c>
    </row>
    <row r="155" spans="1:24" ht="185.25" x14ac:dyDescent="0.2">
      <c r="A155" s="347" t="s">
        <v>489</v>
      </c>
      <c r="B155" s="347" t="s">
        <v>1046</v>
      </c>
      <c r="C155" s="347">
        <v>0</v>
      </c>
      <c r="D155" s="347">
        <v>0</v>
      </c>
      <c r="E155" s="347">
        <v>0</v>
      </c>
      <c r="F155" s="347">
        <v>1</v>
      </c>
      <c r="G155" s="347">
        <v>0</v>
      </c>
      <c r="H155" s="347">
        <v>0</v>
      </c>
      <c r="I155" s="347">
        <v>0</v>
      </c>
      <c r="J155" s="347">
        <v>0</v>
      </c>
      <c r="K155" s="347"/>
      <c r="L155" s="347" t="s">
        <v>163</v>
      </c>
      <c r="M155" s="347" t="s">
        <v>1019</v>
      </c>
      <c r="N155" s="347" t="s">
        <v>1296</v>
      </c>
      <c r="O155" s="347" t="s">
        <v>1011</v>
      </c>
      <c r="P155" s="347" t="s">
        <v>511</v>
      </c>
      <c r="Q155" s="347" t="s">
        <v>512</v>
      </c>
      <c r="R155" s="347"/>
      <c r="S155" s="347" t="s">
        <v>513</v>
      </c>
      <c r="T155" s="347" t="s">
        <v>1375</v>
      </c>
      <c r="U155" s="347" t="s">
        <v>40</v>
      </c>
      <c r="V155" s="347" t="s">
        <v>1019</v>
      </c>
      <c r="W155" s="347" t="s">
        <v>46</v>
      </c>
      <c r="X155" s="347">
        <f t="shared" si="2"/>
        <v>20</v>
      </c>
    </row>
    <row r="156" spans="1:24" ht="165.75" customHeight="1" x14ac:dyDescent="0.2">
      <c r="A156" s="347" t="s">
        <v>491</v>
      </c>
      <c r="B156" s="347" t="s">
        <v>1149</v>
      </c>
      <c r="C156" s="347">
        <v>0</v>
      </c>
      <c r="D156" s="347">
        <v>0</v>
      </c>
      <c r="E156" s="347">
        <v>0</v>
      </c>
      <c r="F156" s="347">
        <v>1</v>
      </c>
      <c r="G156" s="347">
        <v>0</v>
      </c>
      <c r="H156" s="347">
        <v>0</v>
      </c>
      <c r="I156" s="347">
        <v>0</v>
      </c>
      <c r="J156" s="347">
        <v>1</v>
      </c>
      <c r="K156" s="347"/>
      <c r="L156" s="347" t="s">
        <v>163</v>
      </c>
      <c r="M156" s="347" t="s">
        <v>1019</v>
      </c>
      <c r="N156" s="347" t="s">
        <v>1296</v>
      </c>
      <c r="O156" s="347" t="s">
        <v>1011</v>
      </c>
      <c r="P156" s="347" t="s">
        <v>477</v>
      </c>
      <c r="Q156" s="347" t="s">
        <v>478</v>
      </c>
      <c r="R156" s="347"/>
      <c r="S156" s="347" t="s">
        <v>479</v>
      </c>
      <c r="T156" s="347" t="s">
        <v>480</v>
      </c>
      <c r="U156" s="347" t="s">
        <v>40</v>
      </c>
      <c r="V156" s="347" t="s">
        <v>1019</v>
      </c>
      <c r="W156" s="347" t="s">
        <v>75</v>
      </c>
      <c r="X156" s="347">
        <f t="shared" si="2"/>
        <v>10</v>
      </c>
    </row>
    <row r="157" spans="1:24" ht="216" customHeight="1" x14ac:dyDescent="0.2">
      <c r="A157" s="347" t="s">
        <v>493</v>
      </c>
      <c r="B157" s="347" t="s">
        <v>1150</v>
      </c>
      <c r="C157" s="347">
        <v>0</v>
      </c>
      <c r="D157" s="347">
        <v>0</v>
      </c>
      <c r="E157" s="347">
        <v>0</v>
      </c>
      <c r="F157" s="347">
        <v>1</v>
      </c>
      <c r="G157" s="347">
        <v>0</v>
      </c>
      <c r="H157" s="347">
        <v>0</v>
      </c>
      <c r="I157" s="347">
        <v>0</v>
      </c>
      <c r="J157" s="347">
        <v>1</v>
      </c>
      <c r="K157" s="347"/>
      <c r="L157" s="347" t="s">
        <v>163</v>
      </c>
      <c r="M157" s="347" t="s">
        <v>1019</v>
      </c>
      <c r="N157" s="347" t="s">
        <v>1296</v>
      </c>
      <c r="O157" s="347" t="s">
        <v>1011</v>
      </c>
      <c r="P157" s="347" t="s">
        <v>1151</v>
      </c>
      <c r="Q157" s="347" t="s">
        <v>490</v>
      </c>
      <c r="R157" s="347"/>
      <c r="S157" s="347" t="s">
        <v>1376</v>
      </c>
      <c r="T157" s="347" t="s">
        <v>1152</v>
      </c>
      <c r="U157" s="347" t="s">
        <v>40</v>
      </c>
      <c r="V157" s="347" t="s">
        <v>1019</v>
      </c>
      <c r="W157" s="347" t="s">
        <v>75</v>
      </c>
      <c r="X157" s="347">
        <f t="shared" si="2"/>
        <v>10</v>
      </c>
    </row>
    <row r="158" spans="1:24" ht="210.75" customHeight="1" x14ac:dyDescent="0.2">
      <c r="A158" s="347" t="s">
        <v>496</v>
      </c>
      <c r="B158" s="347" t="s">
        <v>494</v>
      </c>
      <c r="C158" s="347">
        <v>0</v>
      </c>
      <c r="D158" s="347">
        <v>0</v>
      </c>
      <c r="E158" s="347">
        <v>0</v>
      </c>
      <c r="F158" s="347">
        <v>1</v>
      </c>
      <c r="G158" s="347">
        <v>0</v>
      </c>
      <c r="H158" s="347">
        <v>0</v>
      </c>
      <c r="I158" s="347">
        <v>0</v>
      </c>
      <c r="J158" s="347">
        <v>0</v>
      </c>
      <c r="K158" s="347"/>
      <c r="L158" s="347" t="s">
        <v>163</v>
      </c>
      <c r="M158" s="347" t="s">
        <v>1019</v>
      </c>
      <c r="N158" s="347" t="s">
        <v>1296</v>
      </c>
      <c r="O158" s="347" t="s">
        <v>1011</v>
      </c>
      <c r="P158" s="347" t="s">
        <v>1153</v>
      </c>
      <c r="Q158" s="347" t="s">
        <v>495</v>
      </c>
      <c r="R158" s="347" t="s">
        <v>1586</v>
      </c>
      <c r="S158" s="347" t="s">
        <v>1376</v>
      </c>
      <c r="T158" s="347" t="s">
        <v>1377</v>
      </c>
      <c r="U158" s="347" t="s">
        <v>40</v>
      </c>
      <c r="V158" s="347" t="s">
        <v>1019</v>
      </c>
      <c r="W158" s="347" t="s">
        <v>75</v>
      </c>
      <c r="X158" s="347">
        <f t="shared" si="2"/>
        <v>10</v>
      </c>
    </row>
    <row r="159" spans="1:24" ht="175.5" customHeight="1" x14ac:dyDescent="0.2">
      <c r="A159" s="347" t="s">
        <v>501</v>
      </c>
      <c r="B159" s="347" t="s">
        <v>497</v>
      </c>
      <c r="C159" s="347">
        <v>0</v>
      </c>
      <c r="D159" s="347">
        <v>0</v>
      </c>
      <c r="E159" s="347">
        <v>0</v>
      </c>
      <c r="F159" s="347">
        <v>1</v>
      </c>
      <c r="G159" s="347">
        <v>0</v>
      </c>
      <c r="H159" s="347">
        <v>0</v>
      </c>
      <c r="I159" s="347">
        <v>0</v>
      </c>
      <c r="J159" s="347">
        <v>0</v>
      </c>
      <c r="K159" s="347"/>
      <c r="L159" s="347" t="s">
        <v>163</v>
      </c>
      <c r="M159" s="347" t="s">
        <v>1019</v>
      </c>
      <c r="N159" s="347" t="s">
        <v>1296</v>
      </c>
      <c r="O159" s="347" t="s">
        <v>1011</v>
      </c>
      <c r="P159" s="347" t="s">
        <v>498</v>
      </c>
      <c r="Q159" s="347" t="s">
        <v>499</v>
      </c>
      <c r="R159" s="347"/>
      <c r="S159" s="347" t="s">
        <v>1378</v>
      </c>
      <c r="T159" s="347" t="s">
        <v>500</v>
      </c>
      <c r="U159" s="347" t="s">
        <v>40</v>
      </c>
      <c r="V159" s="347" t="s">
        <v>1019</v>
      </c>
      <c r="W159" s="347" t="s">
        <v>75</v>
      </c>
      <c r="X159" s="347">
        <f t="shared" si="2"/>
        <v>10</v>
      </c>
    </row>
    <row r="160" spans="1:24" ht="192.75" customHeight="1" x14ac:dyDescent="0.2">
      <c r="A160" s="347" t="s">
        <v>506</v>
      </c>
      <c r="B160" s="347" t="s">
        <v>507</v>
      </c>
      <c r="C160" s="347">
        <v>0</v>
      </c>
      <c r="D160" s="347">
        <v>0</v>
      </c>
      <c r="E160" s="347">
        <v>0</v>
      </c>
      <c r="F160" s="347">
        <v>1</v>
      </c>
      <c r="G160" s="347">
        <v>0</v>
      </c>
      <c r="H160" s="347">
        <v>0</v>
      </c>
      <c r="I160" s="347">
        <v>0</v>
      </c>
      <c r="J160" s="347">
        <v>0</v>
      </c>
      <c r="K160" s="347"/>
      <c r="L160" s="347" t="s">
        <v>1040</v>
      </c>
      <c r="M160" s="347" t="s">
        <v>1019</v>
      </c>
      <c r="N160" s="347" t="s">
        <v>1296</v>
      </c>
      <c r="O160" s="347" t="s">
        <v>508</v>
      </c>
      <c r="P160" s="347" t="s">
        <v>508</v>
      </c>
      <c r="Q160" s="347" t="s">
        <v>508</v>
      </c>
      <c r="R160" s="347"/>
      <c r="S160" s="347" t="s">
        <v>1379</v>
      </c>
      <c r="T160" s="347" t="s">
        <v>509</v>
      </c>
      <c r="U160" s="347" t="s">
        <v>1040</v>
      </c>
      <c r="V160" s="347" t="s">
        <v>1019</v>
      </c>
      <c r="W160" s="347"/>
      <c r="X160" s="347"/>
    </row>
    <row r="161" spans="1:24" ht="185.25" x14ac:dyDescent="0.2">
      <c r="A161" s="347" t="s">
        <v>510</v>
      </c>
      <c r="B161" s="347" t="s">
        <v>502</v>
      </c>
      <c r="C161" s="347">
        <v>0</v>
      </c>
      <c r="D161" s="347">
        <v>0</v>
      </c>
      <c r="E161" s="347">
        <v>0</v>
      </c>
      <c r="F161" s="347">
        <v>1</v>
      </c>
      <c r="G161" s="347">
        <v>0</v>
      </c>
      <c r="H161" s="347">
        <v>0</v>
      </c>
      <c r="I161" s="347">
        <v>0</v>
      </c>
      <c r="J161" s="347">
        <v>1</v>
      </c>
      <c r="K161" s="347"/>
      <c r="L161" s="347" t="s">
        <v>163</v>
      </c>
      <c r="M161" s="347" t="s">
        <v>1019</v>
      </c>
      <c r="N161" s="347" t="s">
        <v>1296</v>
      </c>
      <c r="O161" s="347" t="s">
        <v>1011</v>
      </c>
      <c r="P161" s="347" t="s">
        <v>503</v>
      </c>
      <c r="Q161" s="347" t="s">
        <v>504</v>
      </c>
      <c r="R161" s="347"/>
      <c r="S161" s="347" t="s">
        <v>1380</v>
      </c>
      <c r="T161" s="347" t="s">
        <v>505</v>
      </c>
      <c r="U161" s="347" t="s">
        <v>40</v>
      </c>
      <c r="V161" s="347" t="s">
        <v>1019</v>
      </c>
      <c r="W161" s="347" t="s">
        <v>41</v>
      </c>
      <c r="X161" s="347">
        <f t="shared" si="2"/>
        <v>5</v>
      </c>
    </row>
    <row r="162" spans="1:24" ht="171" x14ac:dyDescent="0.2">
      <c r="A162" s="347" t="s">
        <v>514</v>
      </c>
      <c r="B162" s="347" t="s">
        <v>1047</v>
      </c>
      <c r="C162" s="347">
        <v>0</v>
      </c>
      <c r="D162" s="347">
        <v>1</v>
      </c>
      <c r="E162" s="347">
        <v>0</v>
      </c>
      <c r="F162" s="347">
        <v>0</v>
      </c>
      <c r="G162" s="347">
        <v>0</v>
      </c>
      <c r="H162" s="347">
        <v>0</v>
      </c>
      <c r="I162" s="347">
        <v>0</v>
      </c>
      <c r="J162" s="347">
        <v>0</v>
      </c>
      <c r="K162" s="347"/>
      <c r="L162" s="347" t="s">
        <v>131</v>
      </c>
      <c r="M162" s="347" t="s">
        <v>1019</v>
      </c>
      <c r="N162" s="347" t="s">
        <v>1011</v>
      </c>
      <c r="O162" s="347" t="s">
        <v>1011</v>
      </c>
      <c r="P162" s="347" t="s">
        <v>1011</v>
      </c>
      <c r="Q162" s="347" t="s">
        <v>1011</v>
      </c>
      <c r="R162" s="347"/>
      <c r="S162" s="347" t="s">
        <v>1381</v>
      </c>
      <c r="T162" s="347" t="s">
        <v>1382</v>
      </c>
      <c r="U162" s="347" t="s">
        <v>40</v>
      </c>
      <c r="V162" s="347" t="s">
        <v>1019</v>
      </c>
      <c r="W162" s="347" t="s">
        <v>46</v>
      </c>
      <c r="X162" s="347">
        <f t="shared" si="2"/>
        <v>20</v>
      </c>
    </row>
    <row r="163" spans="1:24" ht="114" x14ac:dyDescent="0.2">
      <c r="A163" s="347" t="s">
        <v>515</v>
      </c>
      <c r="B163" s="347" t="s">
        <v>1048</v>
      </c>
      <c r="C163" s="347">
        <v>0</v>
      </c>
      <c r="D163" s="347">
        <v>1</v>
      </c>
      <c r="E163" s="347">
        <v>0</v>
      </c>
      <c r="F163" s="347">
        <v>0</v>
      </c>
      <c r="G163" s="347">
        <v>0</v>
      </c>
      <c r="H163" s="347">
        <v>0</v>
      </c>
      <c r="I163" s="347">
        <v>0</v>
      </c>
      <c r="J163" s="347">
        <v>0</v>
      </c>
      <c r="K163" s="347"/>
      <c r="L163" s="347" t="s">
        <v>131</v>
      </c>
      <c r="M163" s="347" t="s">
        <v>1019</v>
      </c>
      <c r="N163" s="347" t="s">
        <v>1011</v>
      </c>
      <c r="O163" s="347" t="s">
        <v>1011</v>
      </c>
      <c r="P163" s="347" t="s">
        <v>530</v>
      </c>
      <c r="Q163" s="347" t="s">
        <v>531</v>
      </c>
      <c r="R163" s="347"/>
      <c r="S163" s="347" t="s">
        <v>1383</v>
      </c>
      <c r="T163" s="347" t="s">
        <v>1384</v>
      </c>
      <c r="U163" s="347" t="s">
        <v>40</v>
      </c>
      <c r="V163" s="347" t="s">
        <v>1019</v>
      </c>
      <c r="W163" s="347" t="s">
        <v>46</v>
      </c>
      <c r="X163" s="347">
        <f t="shared" si="2"/>
        <v>20</v>
      </c>
    </row>
    <row r="164" spans="1:24" ht="114" x14ac:dyDescent="0.2">
      <c r="A164" s="347" t="s">
        <v>517</v>
      </c>
      <c r="B164" s="347" t="s">
        <v>1063</v>
      </c>
      <c r="C164" s="347">
        <v>0</v>
      </c>
      <c r="D164" s="347">
        <v>1</v>
      </c>
      <c r="E164" s="347">
        <v>0</v>
      </c>
      <c r="F164" s="347">
        <v>0</v>
      </c>
      <c r="G164" s="347">
        <v>0</v>
      </c>
      <c r="H164" s="347">
        <v>0</v>
      </c>
      <c r="I164" s="347">
        <v>0</v>
      </c>
      <c r="J164" s="347">
        <v>0</v>
      </c>
      <c r="K164" s="347"/>
      <c r="L164" s="347" t="s">
        <v>131</v>
      </c>
      <c r="M164" s="347" t="s">
        <v>1019</v>
      </c>
      <c r="N164" s="347" t="s">
        <v>1011</v>
      </c>
      <c r="O164" s="347" t="s">
        <v>533</v>
      </c>
      <c r="P164" s="347" t="s">
        <v>533</v>
      </c>
      <c r="Q164" s="347" t="s">
        <v>533</v>
      </c>
      <c r="R164" s="347"/>
      <c r="S164" s="347" t="s">
        <v>1385</v>
      </c>
      <c r="T164" s="347" t="s">
        <v>1386</v>
      </c>
      <c r="U164" s="347" t="s">
        <v>40</v>
      </c>
      <c r="V164" s="347" t="s">
        <v>1019</v>
      </c>
      <c r="W164" s="347" t="s">
        <v>46</v>
      </c>
      <c r="X164" s="347">
        <f t="shared" si="2"/>
        <v>20</v>
      </c>
    </row>
    <row r="165" spans="1:24" ht="185.25" x14ac:dyDescent="0.2">
      <c r="A165" s="347" t="s">
        <v>521</v>
      </c>
      <c r="B165" s="347" t="s">
        <v>516</v>
      </c>
      <c r="C165" s="347">
        <v>0</v>
      </c>
      <c r="D165" s="347">
        <v>1</v>
      </c>
      <c r="E165" s="347">
        <v>0</v>
      </c>
      <c r="F165" s="347">
        <v>0</v>
      </c>
      <c r="G165" s="347">
        <v>0</v>
      </c>
      <c r="H165" s="347">
        <v>0</v>
      </c>
      <c r="I165" s="347">
        <v>0</v>
      </c>
      <c r="J165" s="347">
        <v>0</v>
      </c>
      <c r="K165" s="347"/>
      <c r="L165" s="347" t="s">
        <v>131</v>
      </c>
      <c r="M165" s="347" t="s">
        <v>1019</v>
      </c>
      <c r="N165" s="347" t="s">
        <v>1011</v>
      </c>
      <c r="O165" s="347" t="s">
        <v>1011</v>
      </c>
      <c r="P165" s="347" t="s">
        <v>1011</v>
      </c>
      <c r="Q165" s="347" t="s">
        <v>1011</v>
      </c>
      <c r="R165" s="347"/>
      <c r="S165" s="347" t="s">
        <v>1347</v>
      </c>
      <c r="T165" s="347" t="s">
        <v>1348</v>
      </c>
      <c r="U165" s="347" t="s">
        <v>40</v>
      </c>
      <c r="V165" s="347" t="s">
        <v>1019</v>
      </c>
      <c r="W165" s="347" t="s">
        <v>75</v>
      </c>
      <c r="X165" s="347">
        <f t="shared" si="2"/>
        <v>10</v>
      </c>
    </row>
    <row r="166" spans="1:24" ht="199.5" x14ac:dyDescent="0.2">
      <c r="A166" s="347" t="s">
        <v>525</v>
      </c>
      <c r="B166" s="347" t="s">
        <v>522</v>
      </c>
      <c r="C166" s="347">
        <v>0</v>
      </c>
      <c r="D166" s="347">
        <v>1</v>
      </c>
      <c r="E166" s="347">
        <v>0</v>
      </c>
      <c r="F166" s="347">
        <v>0</v>
      </c>
      <c r="G166" s="347">
        <v>0</v>
      </c>
      <c r="H166" s="347">
        <v>0</v>
      </c>
      <c r="I166" s="347">
        <v>0</v>
      </c>
      <c r="J166" s="347">
        <v>1</v>
      </c>
      <c r="K166" s="347"/>
      <c r="L166" s="347" t="s">
        <v>131</v>
      </c>
      <c r="M166" s="347" t="s">
        <v>1019</v>
      </c>
      <c r="N166" s="347" t="s">
        <v>1011</v>
      </c>
      <c r="O166" s="347" t="s">
        <v>1011</v>
      </c>
      <c r="P166" s="347" t="s">
        <v>523</v>
      </c>
      <c r="Q166" s="347" t="s">
        <v>524</v>
      </c>
      <c r="R166" s="347"/>
      <c r="S166" s="347" t="s">
        <v>1387</v>
      </c>
      <c r="T166" s="347" t="s">
        <v>1388</v>
      </c>
      <c r="U166" s="347" t="s">
        <v>40</v>
      </c>
      <c r="V166" s="347" t="s">
        <v>1019</v>
      </c>
      <c r="W166" s="347" t="s">
        <v>75</v>
      </c>
      <c r="X166" s="347">
        <f t="shared" si="2"/>
        <v>10</v>
      </c>
    </row>
    <row r="167" spans="1:24" ht="196.5" customHeight="1" x14ac:dyDescent="0.2">
      <c r="A167" s="347" t="s">
        <v>529</v>
      </c>
      <c r="B167" s="347" t="s">
        <v>535</v>
      </c>
      <c r="C167" s="347">
        <v>0</v>
      </c>
      <c r="D167" s="347">
        <v>1</v>
      </c>
      <c r="E167" s="347">
        <v>0</v>
      </c>
      <c r="F167" s="347">
        <v>0</v>
      </c>
      <c r="G167" s="347">
        <v>0</v>
      </c>
      <c r="H167" s="347">
        <v>0</v>
      </c>
      <c r="I167" s="347">
        <v>0</v>
      </c>
      <c r="J167" s="347">
        <v>0</v>
      </c>
      <c r="K167" s="347"/>
      <c r="L167" s="347" t="s">
        <v>131</v>
      </c>
      <c r="M167" s="347" t="s">
        <v>1019</v>
      </c>
      <c r="N167" s="347" t="s">
        <v>1011</v>
      </c>
      <c r="O167" s="347" t="s">
        <v>1011</v>
      </c>
      <c r="P167" s="347" t="s">
        <v>536</v>
      </c>
      <c r="Q167" s="347" t="s">
        <v>537</v>
      </c>
      <c r="R167" s="347"/>
      <c r="S167" s="347" t="s">
        <v>1389</v>
      </c>
      <c r="T167" s="347" t="s">
        <v>1390</v>
      </c>
      <c r="U167" s="347" t="s">
        <v>40</v>
      </c>
      <c r="V167" s="347" t="s">
        <v>1019</v>
      </c>
      <c r="W167" s="347" t="s">
        <v>75</v>
      </c>
      <c r="X167" s="347">
        <f t="shared" si="2"/>
        <v>10</v>
      </c>
    </row>
    <row r="168" spans="1:24" ht="156.75" x14ac:dyDescent="0.2">
      <c r="A168" s="347" t="s">
        <v>532</v>
      </c>
      <c r="B168" s="347" t="s">
        <v>539</v>
      </c>
      <c r="C168" s="347">
        <v>0</v>
      </c>
      <c r="D168" s="347">
        <v>1</v>
      </c>
      <c r="E168" s="347">
        <v>0</v>
      </c>
      <c r="F168" s="347">
        <v>0</v>
      </c>
      <c r="G168" s="347">
        <v>0</v>
      </c>
      <c r="H168" s="347">
        <v>0</v>
      </c>
      <c r="I168" s="347">
        <v>0</v>
      </c>
      <c r="J168" s="347">
        <v>0</v>
      </c>
      <c r="K168" s="347"/>
      <c r="L168" s="347" t="s">
        <v>131</v>
      </c>
      <c r="M168" s="347" t="s">
        <v>1019</v>
      </c>
      <c r="N168" s="347" t="s">
        <v>1011</v>
      </c>
      <c r="O168" s="347" t="s">
        <v>1011</v>
      </c>
      <c r="P168" s="347" t="s">
        <v>540</v>
      </c>
      <c r="Q168" s="347" t="s">
        <v>541</v>
      </c>
      <c r="R168" s="347"/>
      <c r="S168" s="347" t="s">
        <v>542</v>
      </c>
      <c r="T168" s="347" t="s">
        <v>1391</v>
      </c>
      <c r="U168" s="347" t="s">
        <v>40</v>
      </c>
      <c r="V168" s="347" t="s">
        <v>1019</v>
      </c>
      <c r="W168" s="347" t="s">
        <v>75</v>
      </c>
      <c r="X168" s="347">
        <f t="shared" si="2"/>
        <v>10</v>
      </c>
    </row>
    <row r="169" spans="1:24" ht="409.5" x14ac:dyDescent="0.2">
      <c r="A169" s="347" t="s">
        <v>534</v>
      </c>
      <c r="B169" s="347" t="s">
        <v>544</v>
      </c>
      <c r="C169" s="347">
        <v>0</v>
      </c>
      <c r="D169" s="347">
        <v>1</v>
      </c>
      <c r="E169" s="347">
        <v>0</v>
      </c>
      <c r="F169" s="347">
        <v>0</v>
      </c>
      <c r="G169" s="347">
        <v>0</v>
      </c>
      <c r="H169" s="347">
        <v>0</v>
      </c>
      <c r="I169" s="347">
        <v>0</v>
      </c>
      <c r="J169" s="347">
        <v>1</v>
      </c>
      <c r="K169" s="347"/>
      <c r="L169" s="347" t="s">
        <v>131</v>
      </c>
      <c r="M169" s="347" t="s">
        <v>1019</v>
      </c>
      <c r="N169" s="347" t="s">
        <v>1011</v>
      </c>
      <c r="O169" s="347" t="s">
        <v>1011</v>
      </c>
      <c r="P169" s="347" t="s">
        <v>545</v>
      </c>
      <c r="Q169" s="347" t="s">
        <v>546</v>
      </c>
      <c r="R169" s="347"/>
      <c r="S169" s="347" t="s">
        <v>1392</v>
      </c>
      <c r="T169" s="347" t="s">
        <v>1393</v>
      </c>
      <c r="U169" s="347" t="s">
        <v>40</v>
      </c>
      <c r="V169" s="347" t="s">
        <v>1019</v>
      </c>
      <c r="W169" s="347" t="s">
        <v>75</v>
      </c>
      <c r="X169" s="347">
        <f t="shared" si="2"/>
        <v>10</v>
      </c>
    </row>
    <row r="170" spans="1:24" ht="185.25" x14ac:dyDescent="0.2">
      <c r="A170" s="347" t="s">
        <v>538</v>
      </c>
      <c r="B170" s="347" t="s">
        <v>518</v>
      </c>
      <c r="C170" s="347">
        <v>0</v>
      </c>
      <c r="D170" s="347">
        <v>1</v>
      </c>
      <c r="E170" s="347">
        <v>0</v>
      </c>
      <c r="F170" s="347">
        <v>0</v>
      </c>
      <c r="G170" s="347">
        <v>0</v>
      </c>
      <c r="H170" s="347">
        <v>0</v>
      </c>
      <c r="I170" s="347">
        <v>0</v>
      </c>
      <c r="J170" s="347">
        <v>1</v>
      </c>
      <c r="K170" s="347"/>
      <c r="L170" s="347" t="s">
        <v>131</v>
      </c>
      <c r="M170" s="347" t="s">
        <v>1019</v>
      </c>
      <c r="N170" s="347" t="s">
        <v>1011</v>
      </c>
      <c r="O170" s="347" t="s">
        <v>1011</v>
      </c>
      <c r="P170" s="347" t="s">
        <v>519</v>
      </c>
      <c r="Q170" s="347" t="s">
        <v>520</v>
      </c>
      <c r="R170" s="347"/>
      <c r="S170" s="347" t="s">
        <v>1311</v>
      </c>
      <c r="T170" s="347" t="s">
        <v>1312</v>
      </c>
      <c r="U170" s="347" t="s">
        <v>40</v>
      </c>
      <c r="V170" s="347" t="s">
        <v>1019</v>
      </c>
      <c r="W170" s="347" t="s">
        <v>41</v>
      </c>
      <c r="X170" s="347">
        <f t="shared" si="2"/>
        <v>5</v>
      </c>
    </row>
    <row r="171" spans="1:24" ht="114" x14ac:dyDescent="0.2">
      <c r="A171" s="347" t="s">
        <v>543</v>
      </c>
      <c r="B171" s="347" t="s">
        <v>526</v>
      </c>
      <c r="C171" s="347">
        <v>0</v>
      </c>
      <c r="D171" s="347">
        <v>1</v>
      </c>
      <c r="E171" s="347">
        <v>0</v>
      </c>
      <c r="F171" s="347">
        <v>0</v>
      </c>
      <c r="G171" s="347">
        <v>0</v>
      </c>
      <c r="H171" s="347">
        <v>0</v>
      </c>
      <c r="I171" s="347">
        <v>0</v>
      </c>
      <c r="J171" s="347">
        <v>0</v>
      </c>
      <c r="K171" s="347"/>
      <c r="L171" s="347" t="s">
        <v>131</v>
      </c>
      <c r="M171" s="347" t="s">
        <v>1019</v>
      </c>
      <c r="N171" s="347" t="s">
        <v>1011</v>
      </c>
      <c r="O171" s="347" t="s">
        <v>1011</v>
      </c>
      <c r="P171" s="347" t="s">
        <v>527</v>
      </c>
      <c r="Q171" s="347" t="s">
        <v>528</v>
      </c>
      <c r="R171" s="347"/>
      <c r="S171" s="347" t="s">
        <v>1385</v>
      </c>
      <c r="T171" s="347" t="s">
        <v>1386</v>
      </c>
      <c r="U171" s="347" t="s">
        <v>40</v>
      </c>
      <c r="V171" s="347" t="s">
        <v>1019</v>
      </c>
      <c r="W171" s="347" t="s">
        <v>41</v>
      </c>
      <c r="X171" s="347">
        <f t="shared" si="2"/>
        <v>5</v>
      </c>
    </row>
    <row r="172" spans="1:24" ht="240" customHeight="1" x14ac:dyDescent="0.2">
      <c r="A172" s="347" t="s">
        <v>547</v>
      </c>
      <c r="B172" s="347" t="s">
        <v>548</v>
      </c>
      <c r="C172" s="347">
        <v>0</v>
      </c>
      <c r="D172" s="347">
        <v>1</v>
      </c>
      <c r="E172" s="347">
        <v>0</v>
      </c>
      <c r="F172" s="347">
        <v>0</v>
      </c>
      <c r="G172" s="347">
        <v>0</v>
      </c>
      <c r="H172" s="347">
        <v>0</v>
      </c>
      <c r="I172" s="347">
        <v>0</v>
      </c>
      <c r="J172" s="347">
        <v>1</v>
      </c>
      <c r="K172" s="347"/>
      <c r="L172" s="347" t="s">
        <v>131</v>
      </c>
      <c r="M172" s="347" t="s">
        <v>1019</v>
      </c>
      <c r="N172" s="347" t="s">
        <v>1011</v>
      </c>
      <c r="O172" s="347" t="s">
        <v>1011</v>
      </c>
      <c r="P172" s="347" t="s">
        <v>549</v>
      </c>
      <c r="Q172" s="347" t="s">
        <v>550</v>
      </c>
      <c r="R172" s="347"/>
      <c r="S172" s="347" t="s">
        <v>1448</v>
      </c>
      <c r="T172" s="347" t="s">
        <v>551</v>
      </c>
      <c r="U172" s="347" t="s">
        <v>40</v>
      </c>
      <c r="V172" s="347" t="s">
        <v>1019</v>
      </c>
      <c r="W172" s="347" t="s">
        <v>41</v>
      </c>
      <c r="X172" s="347">
        <f t="shared" si="2"/>
        <v>5</v>
      </c>
    </row>
    <row r="173" spans="1:24" ht="243" customHeight="1" x14ac:dyDescent="0.2">
      <c r="A173" s="347" t="s">
        <v>552</v>
      </c>
      <c r="B173" s="347" t="s">
        <v>553</v>
      </c>
      <c r="C173" s="347">
        <v>0</v>
      </c>
      <c r="D173" s="347">
        <v>1</v>
      </c>
      <c r="E173" s="347">
        <v>0</v>
      </c>
      <c r="F173" s="347">
        <v>0</v>
      </c>
      <c r="G173" s="347">
        <v>0</v>
      </c>
      <c r="H173" s="347">
        <v>0</v>
      </c>
      <c r="I173" s="347">
        <v>0</v>
      </c>
      <c r="J173" s="347">
        <v>1</v>
      </c>
      <c r="K173" s="347"/>
      <c r="L173" s="347" t="s">
        <v>131</v>
      </c>
      <c r="M173" s="347" t="s">
        <v>1019</v>
      </c>
      <c r="N173" s="347" t="s">
        <v>1011</v>
      </c>
      <c r="O173" s="347" t="s">
        <v>1011</v>
      </c>
      <c r="P173" s="347" t="s">
        <v>554</v>
      </c>
      <c r="Q173" s="347" t="s">
        <v>555</v>
      </c>
      <c r="R173" s="347"/>
      <c r="S173" s="347" t="s">
        <v>1448</v>
      </c>
      <c r="T173" s="347" t="s">
        <v>551</v>
      </c>
      <c r="U173" s="347" t="s">
        <v>40</v>
      </c>
      <c r="V173" s="347" t="s">
        <v>1019</v>
      </c>
      <c r="W173" s="347" t="s">
        <v>41</v>
      </c>
      <c r="X173" s="347">
        <f t="shared" si="2"/>
        <v>5</v>
      </c>
    </row>
    <row r="174" spans="1:24" ht="199.5" x14ac:dyDescent="0.2">
      <c r="A174" s="347" t="s">
        <v>556</v>
      </c>
      <c r="B174" s="347" t="s">
        <v>557</v>
      </c>
      <c r="C174" s="347">
        <v>0</v>
      </c>
      <c r="D174" s="347">
        <v>1</v>
      </c>
      <c r="E174" s="347">
        <v>0</v>
      </c>
      <c r="F174" s="347">
        <v>0</v>
      </c>
      <c r="G174" s="347">
        <v>0</v>
      </c>
      <c r="H174" s="347">
        <v>0</v>
      </c>
      <c r="I174" s="347">
        <v>0</v>
      </c>
      <c r="J174" s="347">
        <v>0</v>
      </c>
      <c r="K174" s="347"/>
      <c r="L174" s="347" t="s">
        <v>131</v>
      </c>
      <c r="M174" s="347" t="s">
        <v>1019</v>
      </c>
      <c r="N174" s="347" t="s">
        <v>1011</v>
      </c>
      <c r="O174" s="347" t="s">
        <v>1011</v>
      </c>
      <c r="P174" s="347" t="s">
        <v>558</v>
      </c>
      <c r="Q174" s="347" t="s">
        <v>559</v>
      </c>
      <c r="R174" s="347"/>
      <c r="S174" s="347" t="s">
        <v>1394</v>
      </c>
      <c r="T174" s="347" t="s">
        <v>1395</v>
      </c>
      <c r="U174" s="347" t="s">
        <v>40</v>
      </c>
      <c r="V174" s="347" t="s">
        <v>1019</v>
      </c>
      <c r="W174" s="347" t="s">
        <v>41</v>
      </c>
      <c r="X174" s="347">
        <f t="shared" si="2"/>
        <v>5</v>
      </c>
    </row>
    <row r="175" spans="1:24" ht="206.25" customHeight="1" x14ac:dyDescent="0.2">
      <c r="A175" s="347" t="s">
        <v>560</v>
      </c>
      <c r="B175" s="347" t="s">
        <v>561</v>
      </c>
      <c r="C175" s="347">
        <v>0</v>
      </c>
      <c r="D175" s="347">
        <v>1</v>
      </c>
      <c r="E175" s="347">
        <v>0</v>
      </c>
      <c r="F175" s="347">
        <v>0</v>
      </c>
      <c r="G175" s="347">
        <v>0</v>
      </c>
      <c r="H175" s="347">
        <v>0</v>
      </c>
      <c r="I175" s="347">
        <v>0</v>
      </c>
      <c r="J175" s="347">
        <v>1</v>
      </c>
      <c r="K175" s="347"/>
      <c r="L175" s="347" t="s">
        <v>131</v>
      </c>
      <c r="M175" s="347" t="s">
        <v>1019</v>
      </c>
      <c r="N175" s="347" t="s">
        <v>1011</v>
      </c>
      <c r="O175" s="347" t="s">
        <v>1011</v>
      </c>
      <c r="P175" s="347" t="s">
        <v>562</v>
      </c>
      <c r="Q175" s="347" t="s">
        <v>563</v>
      </c>
      <c r="R175" s="347"/>
      <c r="S175" s="347" t="s">
        <v>1449</v>
      </c>
      <c r="T175" s="347" t="s">
        <v>564</v>
      </c>
      <c r="U175" s="347" t="s">
        <v>40</v>
      </c>
      <c r="V175" s="347" t="s">
        <v>1019</v>
      </c>
      <c r="W175" s="347" t="s">
        <v>41</v>
      </c>
      <c r="X175" s="347">
        <f t="shared" si="2"/>
        <v>5</v>
      </c>
    </row>
    <row r="176" spans="1:24" ht="127.5" customHeight="1" x14ac:dyDescent="0.2">
      <c r="A176" s="347" t="s">
        <v>565</v>
      </c>
      <c r="B176" s="347" t="s">
        <v>566</v>
      </c>
      <c r="C176" s="347">
        <v>0</v>
      </c>
      <c r="D176" s="347">
        <v>1</v>
      </c>
      <c r="E176" s="347">
        <v>0</v>
      </c>
      <c r="F176" s="347">
        <v>0</v>
      </c>
      <c r="G176" s="347">
        <v>0</v>
      </c>
      <c r="H176" s="347">
        <v>0</v>
      </c>
      <c r="I176" s="347">
        <v>0</v>
      </c>
      <c r="J176" s="347">
        <v>1</v>
      </c>
      <c r="K176" s="347"/>
      <c r="L176" s="347" t="s">
        <v>131</v>
      </c>
      <c r="M176" s="347" t="s">
        <v>1019</v>
      </c>
      <c r="N176" s="347" t="s">
        <v>1011</v>
      </c>
      <c r="O176" s="347" t="s">
        <v>1011</v>
      </c>
      <c r="P176" s="347" t="s">
        <v>567</v>
      </c>
      <c r="Q176" s="347" t="s">
        <v>568</v>
      </c>
      <c r="R176" s="347" t="s">
        <v>1586</v>
      </c>
      <c r="S176" s="347" t="s">
        <v>1396</v>
      </c>
      <c r="T176" s="347" t="s">
        <v>569</v>
      </c>
      <c r="U176" s="347" t="s">
        <v>40</v>
      </c>
      <c r="V176" s="347" t="s">
        <v>1019</v>
      </c>
      <c r="W176" s="347" t="s">
        <v>41</v>
      </c>
      <c r="X176" s="347">
        <f t="shared" si="2"/>
        <v>5</v>
      </c>
    </row>
    <row r="177" spans="1:24" ht="270.75" x14ac:dyDescent="0.2">
      <c r="A177" s="347" t="s">
        <v>570</v>
      </c>
      <c r="B177" s="347" t="s">
        <v>571</v>
      </c>
      <c r="C177" s="347">
        <v>0</v>
      </c>
      <c r="D177" s="347">
        <v>0</v>
      </c>
      <c r="E177" s="347">
        <v>0</v>
      </c>
      <c r="F177" s="347">
        <v>1</v>
      </c>
      <c r="G177" s="347">
        <v>0</v>
      </c>
      <c r="H177" s="347">
        <v>0</v>
      </c>
      <c r="I177" s="347">
        <v>0</v>
      </c>
      <c r="J177" s="347">
        <v>1</v>
      </c>
      <c r="K177" s="347"/>
      <c r="L177" s="347" t="s">
        <v>163</v>
      </c>
      <c r="M177" s="347" t="s">
        <v>1019</v>
      </c>
      <c r="N177" s="347" t="s">
        <v>1296</v>
      </c>
      <c r="O177" s="347" t="s">
        <v>1011</v>
      </c>
      <c r="P177" s="347" t="s">
        <v>572</v>
      </c>
      <c r="Q177" s="347" t="s">
        <v>573</v>
      </c>
      <c r="R177" s="347"/>
      <c r="S177" s="347" t="s">
        <v>1397</v>
      </c>
      <c r="T177" s="347" t="s">
        <v>1398</v>
      </c>
      <c r="U177" s="347" t="s">
        <v>40</v>
      </c>
      <c r="V177" s="347" t="s">
        <v>1019</v>
      </c>
      <c r="W177" s="347" t="s">
        <v>75</v>
      </c>
      <c r="X177" s="347">
        <f t="shared" si="2"/>
        <v>10</v>
      </c>
    </row>
    <row r="178" spans="1:24" ht="221.25" customHeight="1" x14ac:dyDescent="0.2">
      <c r="A178" s="347" t="s">
        <v>574</v>
      </c>
      <c r="B178" s="347" t="s">
        <v>575</v>
      </c>
      <c r="C178" s="347">
        <v>0</v>
      </c>
      <c r="D178" s="347">
        <v>0</v>
      </c>
      <c r="E178" s="347">
        <v>0</v>
      </c>
      <c r="F178" s="347">
        <v>1</v>
      </c>
      <c r="G178" s="347">
        <v>0</v>
      </c>
      <c r="H178" s="347">
        <v>0</v>
      </c>
      <c r="I178" s="347">
        <v>0</v>
      </c>
      <c r="J178" s="347">
        <v>1</v>
      </c>
      <c r="K178" s="347"/>
      <c r="L178" s="347" t="s">
        <v>163</v>
      </c>
      <c r="M178" s="347" t="s">
        <v>1019</v>
      </c>
      <c r="N178" s="347" t="s">
        <v>1296</v>
      </c>
      <c r="O178" s="347" t="s">
        <v>1011</v>
      </c>
      <c r="P178" s="347" t="s">
        <v>576</v>
      </c>
      <c r="Q178" s="347" t="s">
        <v>577</v>
      </c>
      <c r="R178" s="347"/>
      <c r="S178" s="347" t="s">
        <v>1399</v>
      </c>
      <c r="T178" s="347" t="s">
        <v>1398</v>
      </c>
      <c r="U178" s="347" t="s">
        <v>40</v>
      </c>
      <c r="V178" s="347" t="s">
        <v>1019</v>
      </c>
      <c r="W178" s="347" t="s">
        <v>41</v>
      </c>
      <c r="X178" s="347">
        <f t="shared" si="2"/>
        <v>5</v>
      </c>
    </row>
    <row r="179" spans="1:24" ht="171" x14ac:dyDescent="0.2">
      <c r="A179" s="347" t="s">
        <v>578</v>
      </c>
      <c r="B179" s="347" t="s">
        <v>579</v>
      </c>
      <c r="C179" s="347">
        <v>0</v>
      </c>
      <c r="D179" s="347">
        <v>0</v>
      </c>
      <c r="E179" s="347">
        <v>0</v>
      </c>
      <c r="F179" s="347">
        <v>1</v>
      </c>
      <c r="G179" s="347">
        <v>0</v>
      </c>
      <c r="H179" s="347">
        <v>0</v>
      </c>
      <c r="I179" s="347">
        <v>0</v>
      </c>
      <c r="J179" s="347">
        <v>1</v>
      </c>
      <c r="K179" s="347"/>
      <c r="L179" s="347" t="s">
        <v>163</v>
      </c>
      <c r="M179" s="347" t="s">
        <v>1019</v>
      </c>
      <c r="N179" s="347" t="s">
        <v>1296</v>
      </c>
      <c r="O179" s="347" t="s">
        <v>1011</v>
      </c>
      <c r="P179" s="347" t="s">
        <v>580</v>
      </c>
      <c r="Q179" s="347" t="s">
        <v>581</v>
      </c>
      <c r="R179" s="347"/>
      <c r="S179" s="347" t="s">
        <v>1400</v>
      </c>
      <c r="T179" s="347" t="s">
        <v>1401</v>
      </c>
      <c r="U179" s="347" t="s">
        <v>40</v>
      </c>
      <c r="V179" s="347" t="s">
        <v>1019</v>
      </c>
      <c r="W179" s="347" t="s">
        <v>41</v>
      </c>
      <c r="X179" s="347">
        <f t="shared" si="2"/>
        <v>5</v>
      </c>
    </row>
    <row r="180" spans="1:24" ht="242.25" x14ac:dyDescent="0.2">
      <c r="A180" s="347" t="s">
        <v>582</v>
      </c>
      <c r="B180" s="347" t="s">
        <v>583</v>
      </c>
      <c r="C180" s="347">
        <v>0</v>
      </c>
      <c r="D180" s="347">
        <v>0</v>
      </c>
      <c r="E180" s="347">
        <v>0</v>
      </c>
      <c r="F180" s="347">
        <v>1</v>
      </c>
      <c r="G180" s="347">
        <v>0</v>
      </c>
      <c r="H180" s="347">
        <v>0</v>
      </c>
      <c r="I180" s="347">
        <v>0</v>
      </c>
      <c r="J180" s="347">
        <v>1</v>
      </c>
      <c r="K180" s="347"/>
      <c r="L180" s="347" t="s">
        <v>163</v>
      </c>
      <c r="M180" s="347" t="s">
        <v>1011</v>
      </c>
      <c r="N180" s="347" t="s">
        <v>1296</v>
      </c>
      <c r="O180" s="347" t="s">
        <v>1011</v>
      </c>
      <c r="P180" s="347" t="s">
        <v>584</v>
      </c>
      <c r="Q180" s="347" t="s">
        <v>1229</v>
      </c>
      <c r="R180" s="347"/>
      <c r="S180" s="347" t="s">
        <v>1402</v>
      </c>
      <c r="T180" s="347" t="s">
        <v>1393</v>
      </c>
      <c r="U180" s="347" t="s">
        <v>40</v>
      </c>
      <c r="V180" s="347" t="s">
        <v>1011</v>
      </c>
      <c r="W180" s="347" t="s">
        <v>41</v>
      </c>
      <c r="X180" s="347">
        <f t="shared" si="2"/>
        <v>5</v>
      </c>
    </row>
    <row r="181" spans="1:24" ht="224.25" customHeight="1" x14ac:dyDescent="0.2">
      <c r="A181" s="347" t="s">
        <v>585</v>
      </c>
      <c r="B181" s="347" t="s">
        <v>1049</v>
      </c>
      <c r="C181" s="347">
        <v>0</v>
      </c>
      <c r="D181" s="347">
        <v>0</v>
      </c>
      <c r="E181" s="347">
        <v>0</v>
      </c>
      <c r="F181" s="347">
        <v>1</v>
      </c>
      <c r="G181" s="347">
        <v>0</v>
      </c>
      <c r="H181" s="347">
        <v>0</v>
      </c>
      <c r="I181" s="347">
        <v>0</v>
      </c>
      <c r="J181" s="347">
        <v>0</v>
      </c>
      <c r="K181" s="347"/>
      <c r="L181" s="347" t="s">
        <v>163</v>
      </c>
      <c r="M181" s="347" t="s">
        <v>1019</v>
      </c>
      <c r="N181" s="347" t="s">
        <v>1296</v>
      </c>
      <c r="O181" s="347" t="s">
        <v>1011</v>
      </c>
      <c r="P181" s="347" t="s">
        <v>594</v>
      </c>
      <c r="Q181" s="347" t="s">
        <v>595</v>
      </c>
      <c r="R181" s="347"/>
      <c r="S181" s="347" t="s">
        <v>1403</v>
      </c>
      <c r="T181" s="347" t="s">
        <v>1404</v>
      </c>
      <c r="U181" s="347" t="s">
        <v>40</v>
      </c>
      <c r="V181" s="347" t="s">
        <v>1019</v>
      </c>
      <c r="W181" s="347" t="s">
        <v>46</v>
      </c>
      <c r="X181" s="347">
        <f t="shared" si="2"/>
        <v>20</v>
      </c>
    </row>
    <row r="182" spans="1:24" ht="128.25" x14ac:dyDescent="0.2">
      <c r="A182" s="347" t="s">
        <v>589</v>
      </c>
      <c r="B182" s="347" t="s">
        <v>1050</v>
      </c>
      <c r="C182" s="347">
        <v>0</v>
      </c>
      <c r="D182" s="347">
        <v>0</v>
      </c>
      <c r="E182" s="347">
        <v>0</v>
      </c>
      <c r="F182" s="347">
        <v>1</v>
      </c>
      <c r="G182" s="347">
        <v>0</v>
      </c>
      <c r="H182" s="347">
        <v>0</v>
      </c>
      <c r="I182" s="347">
        <v>0</v>
      </c>
      <c r="J182" s="347">
        <v>1</v>
      </c>
      <c r="K182" s="347"/>
      <c r="L182" s="347" t="s">
        <v>163</v>
      </c>
      <c r="M182" s="347" t="s">
        <v>1019</v>
      </c>
      <c r="N182" s="347" t="s">
        <v>1296</v>
      </c>
      <c r="O182" s="347" t="s">
        <v>1011</v>
      </c>
      <c r="P182" s="347" t="s">
        <v>597</v>
      </c>
      <c r="Q182" s="347" t="s">
        <v>598</v>
      </c>
      <c r="R182" s="347"/>
      <c r="S182" s="347" t="s">
        <v>1405</v>
      </c>
      <c r="T182" s="347" t="s">
        <v>1406</v>
      </c>
      <c r="U182" s="347" t="s">
        <v>40</v>
      </c>
      <c r="V182" s="347" t="s">
        <v>1019</v>
      </c>
      <c r="W182" s="347" t="s">
        <v>46</v>
      </c>
      <c r="X182" s="347">
        <f t="shared" si="2"/>
        <v>20</v>
      </c>
    </row>
    <row r="183" spans="1:24" ht="171" x14ac:dyDescent="0.2">
      <c r="A183" s="347" t="s">
        <v>593</v>
      </c>
      <c r="B183" s="347" t="s">
        <v>1051</v>
      </c>
      <c r="C183" s="347">
        <v>0</v>
      </c>
      <c r="D183" s="347">
        <v>0</v>
      </c>
      <c r="E183" s="347">
        <v>0</v>
      </c>
      <c r="F183" s="347">
        <v>1</v>
      </c>
      <c r="G183" s="347">
        <v>0</v>
      </c>
      <c r="H183" s="347">
        <v>0</v>
      </c>
      <c r="I183" s="347">
        <v>0</v>
      </c>
      <c r="J183" s="347">
        <v>1</v>
      </c>
      <c r="K183" s="347"/>
      <c r="L183" s="347" t="s">
        <v>163</v>
      </c>
      <c r="M183" s="347" t="s">
        <v>1019</v>
      </c>
      <c r="N183" s="347" t="s">
        <v>1296</v>
      </c>
      <c r="O183" s="347" t="s">
        <v>1011</v>
      </c>
      <c r="P183" s="347" t="s">
        <v>602</v>
      </c>
      <c r="Q183" s="347" t="s">
        <v>1154</v>
      </c>
      <c r="R183" s="347"/>
      <c r="S183" s="347" t="s">
        <v>1407</v>
      </c>
      <c r="T183" s="347" t="s">
        <v>603</v>
      </c>
      <c r="U183" s="347" t="s">
        <v>40</v>
      </c>
      <c r="V183" s="347" t="s">
        <v>1019</v>
      </c>
      <c r="W183" s="347" t="s">
        <v>46</v>
      </c>
      <c r="X183" s="347">
        <f t="shared" si="2"/>
        <v>20</v>
      </c>
    </row>
    <row r="184" spans="1:24" ht="289.5" customHeight="1" x14ac:dyDescent="0.2">
      <c r="A184" s="347" t="s">
        <v>596</v>
      </c>
      <c r="B184" s="347" t="s">
        <v>590</v>
      </c>
      <c r="C184" s="347">
        <v>0</v>
      </c>
      <c r="D184" s="347">
        <v>0</v>
      </c>
      <c r="E184" s="347">
        <v>0</v>
      </c>
      <c r="F184" s="347">
        <v>1</v>
      </c>
      <c r="G184" s="347">
        <v>0</v>
      </c>
      <c r="H184" s="347">
        <v>0</v>
      </c>
      <c r="I184" s="347">
        <v>0</v>
      </c>
      <c r="J184" s="347">
        <v>1</v>
      </c>
      <c r="K184" s="347"/>
      <c r="L184" s="347" t="s">
        <v>163</v>
      </c>
      <c r="M184" s="347" t="s">
        <v>1019</v>
      </c>
      <c r="N184" s="347" t="s">
        <v>1296</v>
      </c>
      <c r="O184" s="347" t="s">
        <v>1011</v>
      </c>
      <c r="P184" s="347" t="s">
        <v>591</v>
      </c>
      <c r="Q184" s="347" t="s">
        <v>592</v>
      </c>
      <c r="R184" s="347"/>
      <c r="S184" s="347" t="s">
        <v>1408</v>
      </c>
      <c r="T184" s="347" t="s">
        <v>1155</v>
      </c>
      <c r="U184" s="347" t="s">
        <v>40</v>
      </c>
      <c r="V184" s="347" t="s">
        <v>1019</v>
      </c>
      <c r="W184" s="347" t="s">
        <v>75</v>
      </c>
      <c r="X184" s="347">
        <f t="shared" si="2"/>
        <v>10</v>
      </c>
    </row>
    <row r="185" spans="1:24" ht="296.25" customHeight="1" x14ac:dyDescent="0.2">
      <c r="A185" s="347" t="s">
        <v>599</v>
      </c>
      <c r="B185" s="347" t="s">
        <v>1483</v>
      </c>
      <c r="C185" s="347">
        <v>0</v>
      </c>
      <c r="D185" s="347">
        <v>0</v>
      </c>
      <c r="E185" s="347">
        <v>0</v>
      </c>
      <c r="F185" s="347">
        <v>1</v>
      </c>
      <c r="G185" s="347">
        <v>0</v>
      </c>
      <c r="H185" s="347">
        <v>0</v>
      </c>
      <c r="I185" s="347">
        <v>0</v>
      </c>
      <c r="J185" s="347">
        <v>0</v>
      </c>
      <c r="K185" s="347"/>
      <c r="L185" s="347" t="s">
        <v>163</v>
      </c>
      <c r="M185" s="347" t="s">
        <v>1019</v>
      </c>
      <c r="N185" s="347" t="s">
        <v>1296</v>
      </c>
      <c r="O185" s="347" t="s">
        <v>600</v>
      </c>
      <c r="P185" s="347" t="s">
        <v>600</v>
      </c>
      <c r="Q185" s="347" t="s">
        <v>600</v>
      </c>
      <c r="R185" s="347"/>
      <c r="S185" s="347" t="s">
        <v>1450</v>
      </c>
      <c r="T185" s="347" t="s">
        <v>1409</v>
      </c>
      <c r="U185" s="347" t="s">
        <v>40</v>
      </c>
      <c r="V185" s="347" t="s">
        <v>1019</v>
      </c>
      <c r="W185" s="347" t="s">
        <v>75</v>
      </c>
      <c r="X185" s="347">
        <f t="shared" si="2"/>
        <v>10</v>
      </c>
    </row>
    <row r="186" spans="1:24" ht="300" customHeight="1" x14ac:dyDescent="0.2">
      <c r="A186" s="347" t="s">
        <v>601</v>
      </c>
      <c r="B186" s="347" t="s">
        <v>586</v>
      </c>
      <c r="C186" s="347">
        <v>0</v>
      </c>
      <c r="D186" s="347">
        <v>0</v>
      </c>
      <c r="E186" s="347">
        <v>0</v>
      </c>
      <c r="F186" s="347">
        <v>1</v>
      </c>
      <c r="G186" s="347">
        <v>0</v>
      </c>
      <c r="H186" s="347">
        <v>0</v>
      </c>
      <c r="I186" s="347">
        <v>0</v>
      </c>
      <c r="J186" s="347">
        <v>1</v>
      </c>
      <c r="K186" s="347"/>
      <c r="L186" s="347" t="s">
        <v>163</v>
      </c>
      <c r="M186" s="347" t="s">
        <v>1019</v>
      </c>
      <c r="N186" s="347" t="s">
        <v>1296</v>
      </c>
      <c r="O186" s="347" t="s">
        <v>1011</v>
      </c>
      <c r="P186" s="347" t="s">
        <v>587</v>
      </c>
      <c r="Q186" s="347" t="s">
        <v>588</v>
      </c>
      <c r="R186" s="347"/>
      <c r="S186" s="347" t="s">
        <v>1410</v>
      </c>
      <c r="T186" s="347" t="s">
        <v>1156</v>
      </c>
      <c r="U186" s="347" t="s">
        <v>40</v>
      </c>
      <c r="V186" s="347" t="s">
        <v>1019</v>
      </c>
      <c r="W186" s="347" t="s">
        <v>41</v>
      </c>
      <c r="X186" s="347">
        <f t="shared" si="2"/>
        <v>5</v>
      </c>
    </row>
    <row r="187" spans="1:24" ht="77.099999999999994" customHeight="1" x14ac:dyDescent="0.2">
      <c r="A187" s="347" t="s">
        <v>604</v>
      </c>
      <c r="B187" s="347" t="s">
        <v>1496</v>
      </c>
      <c r="C187" s="347">
        <v>0</v>
      </c>
      <c r="D187" s="347">
        <v>0</v>
      </c>
      <c r="E187" s="347">
        <v>0</v>
      </c>
      <c r="F187" s="347">
        <v>0</v>
      </c>
      <c r="G187" s="347">
        <v>0</v>
      </c>
      <c r="H187" s="347">
        <v>1</v>
      </c>
      <c r="I187" s="347">
        <v>0</v>
      </c>
      <c r="J187" s="347">
        <v>1</v>
      </c>
      <c r="K187" s="347"/>
      <c r="L187" s="347" t="s">
        <v>605</v>
      </c>
      <c r="M187" s="347" t="s">
        <v>1019</v>
      </c>
      <c r="N187" s="347" t="s">
        <v>1411</v>
      </c>
      <c r="O187" s="347" t="s">
        <v>606</v>
      </c>
      <c r="P187" s="347" t="s">
        <v>606</v>
      </c>
      <c r="Q187" s="347" t="s">
        <v>606</v>
      </c>
      <c r="R187" s="347"/>
      <c r="S187" s="347" t="s">
        <v>607</v>
      </c>
      <c r="T187" s="347" t="s">
        <v>608</v>
      </c>
      <c r="U187" s="347" t="s">
        <v>40</v>
      </c>
      <c r="V187" s="347" t="s">
        <v>1019</v>
      </c>
      <c r="W187" s="347" t="s">
        <v>46</v>
      </c>
      <c r="X187" s="347">
        <f t="shared" si="2"/>
        <v>20</v>
      </c>
    </row>
    <row r="188" spans="1:24" ht="77.099999999999994" customHeight="1" x14ac:dyDescent="0.2">
      <c r="A188" s="347" t="s">
        <v>609</v>
      </c>
      <c r="B188" s="347" t="s">
        <v>1519</v>
      </c>
      <c r="C188" s="347">
        <v>0</v>
      </c>
      <c r="D188" s="347">
        <v>0</v>
      </c>
      <c r="E188" s="347">
        <v>0</v>
      </c>
      <c r="F188" s="347">
        <v>0</v>
      </c>
      <c r="G188" s="347">
        <v>0</v>
      </c>
      <c r="H188" s="347">
        <v>1</v>
      </c>
      <c r="I188" s="347">
        <v>0</v>
      </c>
      <c r="J188" s="347">
        <v>1</v>
      </c>
      <c r="K188" s="347"/>
      <c r="L188" s="347" t="s">
        <v>605</v>
      </c>
      <c r="M188" s="347" t="s">
        <v>1019</v>
      </c>
      <c r="N188" s="347" t="s">
        <v>1411</v>
      </c>
      <c r="O188" s="347" t="s">
        <v>606</v>
      </c>
      <c r="P188" s="347" t="s">
        <v>606</v>
      </c>
      <c r="Q188" s="347" t="s">
        <v>606</v>
      </c>
      <c r="R188" s="347"/>
      <c r="S188" s="347" t="s">
        <v>607</v>
      </c>
      <c r="T188" s="347" t="s">
        <v>608</v>
      </c>
      <c r="U188" s="347" t="s">
        <v>40</v>
      </c>
      <c r="V188" s="347" t="s">
        <v>1019</v>
      </c>
      <c r="W188" s="347" t="s">
        <v>46</v>
      </c>
      <c r="X188" s="347">
        <f t="shared" si="2"/>
        <v>20</v>
      </c>
    </row>
    <row r="189" spans="1:24" ht="77.099999999999994" customHeight="1" x14ac:dyDescent="0.2">
      <c r="A189" s="347" t="s">
        <v>611</v>
      </c>
      <c r="B189" s="347" t="s">
        <v>1517</v>
      </c>
      <c r="C189" s="347">
        <v>0</v>
      </c>
      <c r="D189" s="347">
        <v>0</v>
      </c>
      <c r="E189" s="347">
        <v>0</v>
      </c>
      <c r="F189" s="347">
        <v>0</v>
      </c>
      <c r="G189" s="347">
        <v>0</v>
      </c>
      <c r="H189" s="347">
        <v>1</v>
      </c>
      <c r="I189" s="347">
        <v>0</v>
      </c>
      <c r="J189" s="347">
        <v>1</v>
      </c>
      <c r="K189" s="347"/>
      <c r="L189" s="347" t="s">
        <v>605</v>
      </c>
      <c r="M189" s="347" t="s">
        <v>1019</v>
      </c>
      <c r="N189" s="347" t="s">
        <v>1411</v>
      </c>
      <c r="O189" s="347" t="s">
        <v>606</v>
      </c>
      <c r="P189" s="347" t="s">
        <v>606</v>
      </c>
      <c r="Q189" s="347" t="s">
        <v>606</v>
      </c>
      <c r="R189" s="347"/>
      <c r="S189" s="347" t="s">
        <v>607</v>
      </c>
      <c r="T189" s="347" t="s">
        <v>608</v>
      </c>
      <c r="U189" s="347" t="s">
        <v>40</v>
      </c>
      <c r="V189" s="347" t="s">
        <v>1019</v>
      </c>
      <c r="W189" s="347" t="s">
        <v>46</v>
      </c>
      <c r="X189" s="347">
        <f t="shared" si="2"/>
        <v>20</v>
      </c>
    </row>
    <row r="190" spans="1:24" ht="77.099999999999994" customHeight="1" x14ac:dyDescent="0.2">
      <c r="A190" s="347" t="s">
        <v>613</v>
      </c>
      <c r="B190" s="347" t="s">
        <v>1484</v>
      </c>
      <c r="C190" s="347">
        <v>0</v>
      </c>
      <c r="D190" s="347">
        <v>0</v>
      </c>
      <c r="E190" s="347">
        <v>0</v>
      </c>
      <c r="F190" s="347">
        <v>0</v>
      </c>
      <c r="G190" s="347">
        <v>0</v>
      </c>
      <c r="H190" s="347">
        <v>1</v>
      </c>
      <c r="I190" s="347">
        <v>0</v>
      </c>
      <c r="J190" s="347">
        <v>1</v>
      </c>
      <c r="K190" s="347"/>
      <c r="L190" s="347" t="s">
        <v>605</v>
      </c>
      <c r="M190" s="347" t="s">
        <v>1019</v>
      </c>
      <c r="N190" s="347" t="s">
        <v>1411</v>
      </c>
      <c r="O190" s="347" t="s">
        <v>606</v>
      </c>
      <c r="P190" s="347" t="s">
        <v>606</v>
      </c>
      <c r="Q190" s="347" t="s">
        <v>606</v>
      </c>
      <c r="R190" s="347"/>
      <c r="S190" s="347" t="s">
        <v>607</v>
      </c>
      <c r="T190" s="347" t="s">
        <v>608</v>
      </c>
      <c r="U190" s="347" t="s">
        <v>40</v>
      </c>
      <c r="V190" s="347" t="s">
        <v>1019</v>
      </c>
      <c r="W190" s="347" t="s">
        <v>46</v>
      </c>
      <c r="X190" s="347">
        <f t="shared" ref="X190:X237" si="3">IF($W190="Critical Importance",20,IF($W190="Minor Importance",5,10))</f>
        <v>20</v>
      </c>
    </row>
    <row r="191" spans="1:24" ht="77.099999999999994" customHeight="1" x14ac:dyDescent="0.2">
      <c r="A191" s="347" t="s">
        <v>615</v>
      </c>
      <c r="B191" s="347" t="s">
        <v>610</v>
      </c>
      <c r="C191" s="347">
        <v>0</v>
      </c>
      <c r="D191" s="347">
        <v>0</v>
      </c>
      <c r="E191" s="347">
        <v>0</v>
      </c>
      <c r="F191" s="347">
        <v>0</v>
      </c>
      <c r="G191" s="347">
        <v>0</v>
      </c>
      <c r="H191" s="347">
        <v>1</v>
      </c>
      <c r="I191" s="347">
        <v>0</v>
      </c>
      <c r="J191" s="347">
        <v>1</v>
      </c>
      <c r="K191" s="347"/>
      <c r="L191" s="347" t="s">
        <v>605</v>
      </c>
      <c r="M191" s="347" t="s">
        <v>1019</v>
      </c>
      <c r="N191" s="347" t="s">
        <v>1411</v>
      </c>
      <c r="O191" s="347" t="s">
        <v>606</v>
      </c>
      <c r="P191" s="347" t="s">
        <v>606</v>
      </c>
      <c r="Q191" s="347" t="s">
        <v>606</v>
      </c>
      <c r="R191" s="347"/>
      <c r="S191" s="347" t="s">
        <v>607</v>
      </c>
      <c r="T191" s="347" t="s">
        <v>608</v>
      </c>
      <c r="U191" s="347" t="s">
        <v>40</v>
      </c>
      <c r="V191" s="347" t="s">
        <v>1019</v>
      </c>
      <c r="W191" s="347" t="s">
        <v>75</v>
      </c>
      <c r="X191" s="347">
        <f t="shared" si="3"/>
        <v>10</v>
      </c>
    </row>
    <row r="192" spans="1:24" ht="77.099999999999994" customHeight="1" x14ac:dyDescent="0.2">
      <c r="A192" s="347" t="s">
        <v>616</v>
      </c>
      <c r="B192" s="347" t="s">
        <v>612</v>
      </c>
      <c r="C192" s="347">
        <v>0</v>
      </c>
      <c r="D192" s="347">
        <v>0</v>
      </c>
      <c r="E192" s="347">
        <v>0</v>
      </c>
      <c r="F192" s="347">
        <v>0</v>
      </c>
      <c r="G192" s="347">
        <v>0</v>
      </c>
      <c r="H192" s="347">
        <v>1</v>
      </c>
      <c r="I192" s="347">
        <v>0</v>
      </c>
      <c r="J192" s="347">
        <v>1</v>
      </c>
      <c r="K192" s="347"/>
      <c r="L192" s="347" t="s">
        <v>605</v>
      </c>
      <c r="M192" s="347" t="s">
        <v>1019</v>
      </c>
      <c r="N192" s="347" t="s">
        <v>1411</v>
      </c>
      <c r="O192" s="347" t="s">
        <v>606</v>
      </c>
      <c r="P192" s="347" t="s">
        <v>606</v>
      </c>
      <c r="Q192" s="347" t="s">
        <v>606</v>
      </c>
      <c r="R192" s="347"/>
      <c r="S192" s="347" t="s">
        <v>607</v>
      </c>
      <c r="T192" s="347" t="s">
        <v>608</v>
      </c>
      <c r="U192" s="347" t="s">
        <v>40</v>
      </c>
      <c r="V192" s="347" t="s">
        <v>1019</v>
      </c>
      <c r="W192" s="347" t="s">
        <v>75</v>
      </c>
      <c r="X192" s="347">
        <f t="shared" si="3"/>
        <v>10</v>
      </c>
    </row>
    <row r="193" spans="1:24" ht="77.099999999999994" customHeight="1" x14ac:dyDescent="0.2">
      <c r="A193" s="347" t="s">
        <v>617</v>
      </c>
      <c r="B193" s="347" t="s">
        <v>614</v>
      </c>
      <c r="C193" s="347">
        <v>0</v>
      </c>
      <c r="D193" s="347">
        <v>0</v>
      </c>
      <c r="E193" s="347">
        <v>0</v>
      </c>
      <c r="F193" s="347">
        <v>0</v>
      </c>
      <c r="G193" s="347">
        <v>0</v>
      </c>
      <c r="H193" s="347">
        <v>1</v>
      </c>
      <c r="I193" s="347">
        <v>0</v>
      </c>
      <c r="J193" s="347">
        <v>1</v>
      </c>
      <c r="K193" s="347"/>
      <c r="L193" s="347" t="s">
        <v>605</v>
      </c>
      <c r="M193" s="347" t="s">
        <v>1019</v>
      </c>
      <c r="N193" s="347" t="s">
        <v>1411</v>
      </c>
      <c r="O193" s="347" t="s">
        <v>606</v>
      </c>
      <c r="P193" s="347" t="s">
        <v>606</v>
      </c>
      <c r="Q193" s="347" t="s">
        <v>606</v>
      </c>
      <c r="R193" s="347"/>
      <c r="S193" s="347" t="s">
        <v>607</v>
      </c>
      <c r="T193" s="347" t="s">
        <v>608</v>
      </c>
      <c r="U193" s="347" t="s">
        <v>40</v>
      </c>
      <c r="V193" s="347" t="s">
        <v>1019</v>
      </c>
      <c r="W193" s="347" t="s">
        <v>75</v>
      </c>
      <c r="X193" s="347">
        <f t="shared" si="3"/>
        <v>10</v>
      </c>
    </row>
    <row r="194" spans="1:24" ht="77.099999999999994" customHeight="1" x14ac:dyDescent="0.2">
      <c r="A194" s="347" t="s">
        <v>619</v>
      </c>
      <c r="B194" s="347" t="s">
        <v>1485</v>
      </c>
      <c r="C194" s="347">
        <v>0</v>
      </c>
      <c r="D194" s="347">
        <v>0</v>
      </c>
      <c r="E194" s="347">
        <v>0</v>
      </c>
      <c r="F194" s="347">
        <v>0</v>
      </c>
      <c r="G194" s="347">
        <v>0</v>
      </c>
      <c r="H194" s="347">
        <v>1</v>
      </c>
      <c r="I194" s="347">
        <v>0</v>
      </c>
      <c r="J194" s="347">
        <v>1</v>
      </c>
      <c r="K194" s="347"/>
      <c r="L194" s="347" t="s">
        <v>605</v>
      </c>
      <c r="M194" s="347" t="s">
        <v>1019</v>
      </c>
      <c r="N194" s="347" t="s">
        <v>1411</v>
      </c>
      <c r="O194" s="347" t="s">
        <v>606</v>
      </c>
      <c r="P194" s="347" t="s">
        <v>606</v>
      </c>
      <c r="Q194" s="347" t="s">
        <v>606</v>
      </c>
      <c r="R194" s="347"/>
      <c r="S194" s="347" t="s">
        <v>607</v>
      </c>
      <c r="T194" s="347" t="s">
        <v>608</v>
      </c>
      <c r="U194" s="347" t="s">
        <v>40</v>
      </c>
      <c r="V194" s="347" t="s">
        <v>1019</v>
      </c>
      <c r="W194" s="347" t="s">
        <v>75</v>
      </c>
      <c r="X194" s="347">
        <f t="shared" si="3"/>
        <v>10</v>
      </c>
    </row>
    <row r="195" spans="1:24" ht="77.099999999999994" customHeight="1" x14ac:dyDescent="0.2">
      <c r="A195" s="347" t="s">
        <v>621</v>
      </c>
      <c r="B195" s="347" t="s">
        <v>618</v>
      </c>
      <c r="C195" s="347">
        <v>0</v>
      </c>
      <c r="D195" s="347">
        <v>0</v>
      </c>
      <c r="E195" s="347">
        <v>0</v>
      </c>
      <c r="F195" s="347">
        <v>0</v>
      </c>
      <c r="G195" s="347">
        <v>0</v>
      </c>
      <c r="H195" s="347">
        <v>1</v>
      </c>
      <c r="I195" s="347">
        <v>0</v>
      </c>
      <c r="J195" s="347">
        <v>1</v>
      </c>
      <c r="K195" s="347"/>
      <c r="L195" s="347" t="s">
        <v>605</v>
      </c>
      <c r="M195" s="347" t="s">
        <v>1019</v>
      </c>
      <c r="N195" s="347" t="s">
        <v>1411</v>
      </c>
      <c r="O195" s="347" t="s">
        <v>606</v>
      </c>
      <c r="P195" s="347" t="s">
        <v>606</v>
      </c>
      <c r="Q195" s="347" t="s">
        <v>606</v>
      </c>
      <c r="R195" s="347"/>
      <c r="S195" s="347" t="s">
        <v>607</v>
      </c>
      <c r="T195" s="347" t="s">
        <v>608</v>
      </c>
      <c r="U195" s="347" t="s">
        <v>40</v>
      </c>
      <c r="V195" s="347" t="s">
        <v>1019</v>
      </c>
      <c r="W195" s="347" t="s">
        <v>75</v>
      </c>
      <c r="X195" s="347">
        <f t="shared" si="3"/>
        <v>10</v>
      </c>
    </row>
    <row r="196" spans="1:24" ht="77.099999999999994" customHeight="1" x14ac:dyDescent="0.2">
      <c r="A196" s="347" t="s">
        <v>623</v>
      </c>
      <c r="B196" s="347" t="s">
        <v>620</v>
      </c>
      <c r="C196" s="347">
        <v>0</v>
      </c>
      <c r="D196" s="347">
        <v>0</v>
      </c>
      <c r="E196" s="347">
        <v>0</v>
      </c>
      <c r="F196" s="347">
        <v>0</v>
      </c>
      <c r="G196" s="347">
        <v>0</v>
      </c>
      <c r="H196" s="347">
        <v>1</v>
      </c>
      <c r="I196" s="347">
        <v>0</v>
      </c>
      <c r="J196" s="347">
        <v>1</v>
      </c>
      <c r="K196" s="347"/>
      <c r="L196" s="347" t="s">
        <v>605</v>
      </c>
      <c r="M196" s="347" t="s">
        <v>1019</v>
      </c>
      <c r="N196" s="347" t="s">
        <v>1411</v>
      </c>
      <c r="O196" s="347" t="s">
        <v>606</v>
      </c>
      <c r="P196" s="347" t="s">
        <v>606</v>
      </c>
      <c r="Q196" s="347" t="s">
        <v>606</v>
      </c>
      <c r="R196" s="347"/>
      <c r="S196" s="347" t="s">
        <v>607</v>
      </c>
      <c r="T196" s="347" t="s">
        <v>608</v>
      </c>
      <c r="U196" s="347" t="s">
        <v>40</v>
      </c>
      <c r="V196" s="347" t="s">
        <v>1019</v>
      </c>
      <c r="W196" s="347" t="s">
        <v>75</v>
      </c>
      <c r="X196" s="347">
        <f t="shared" si="3"/>
        <v>10</v>
      </c>
    </row>
    <row r="197" spans="1:24" ht="77.099999999999994" customHeight="1" x14ac:dyDescent="0.2">
      <c r="A197" s="347" t="s">
        <v>625</v>
      </c>
      <c r="B197" s="347" t="s">
        <v>622</v>
      </c>
      <c r="C197" s="347">
        <v>0</v>
      </c>
      <c r="D197" s="347">
        <v>0</v>
      </c>
      <c r="E197" s="347">
        <v>0</v>
      </c>
      <c r="F197" s="347">
        <v>0</v>
      </c>
      <c r="G197" s="347">
        <v>0</v>
      </c>
      <c r="H197" s="347">
        <v>1</v>
      </c>
      <c r="I197" s="347">
        <v>0</v>
      </c>
      <c r="J197" s="347">
        <v>1</v>
      </c>
      <c r="K197" s="347"/>
      <c r="L197" s="347" t="s">
        <v>605</v>
      </c>
      <c r="M197" s="347" t="s">
        <v>1019</v>
      </c>
      <c r="N197" s="347" t="s">
        <v>1411</v>
      </c>
      <c r="O197" s="347" t="s">
        <v>606</v>
      </c>
      <c r="P197" s="347" t="s">
        <v>606</v>
      </c>
      <c r="Q197" s="347" t="s">
        <v>606</v>
      </c>
      <c r="R197" s="347"/>
      <c r="S197" s="347" t="s">
        <v>607</v>
      </c>
      <c r="T197" s="347" t="s">
        <v>608</v>
      </c>
      <c r="U197" s="347" t="s">
        <v>40</v>
      </c>
      <c r="V197" s="347" t="s">
        <v>1019</v>
      </c>
      <c r="W197" s="347" t="s">
        <v>75</v>
      </c>
      <c r="X197" s="347">
        <f t="shared" si="3"/>
        <v>10</v>
      </c>
    </row>
    <row r="198" spans="1:24" ht="77.099999999999994" customHeight="1" x14ac:dyDescent="0.2">
      <c r="A198" s="347" t="s">
        <v>627</v>
      </c>
      <c r="B198" s="347" t="s">
        <v>624</v>
      </c>
      <c r="C198" s="347">
        <v>0</v>
      </c>
      <c r="D198" s="347">
        <v>0</v>
      </c>
      <c r="E198" s="347">
        <v>0</v>
      </c>
      <c r="F198" s="347">
        <v>0</v>
      </c>
      <c r="G198" s="347">
        <v>0</v>
      </c>
      <c r="H198" s="347">
        <v>1</v>
      </c>
      <c r="I198" s="347">
        <v>0</v>
      </c>
      <c r="J198" s="347">
        <v>1</v>
      </c>
      <c r="K198" s="347"/>
      <c r="L198" s="347" t="s">
        <v>605</v>
      </c>
      <c r="M198" s="347" t="s">
        <v>1019</v>
      </c>
      <c r="N198" s="347" t="s">
        <v>1411</v>
      </c>
      <c r="O198" s="347" t="s">
        <v>606</v>
      </c>
      <c r="P198" s="347" t="s">
        <v>606</v>
      </c>
      <c r="Q198" s="347" t="s">
        <v>606</v>
      </c>
      <c r="R198" s="347"/>
      <c r="S198" s="347" t="s">
        <v>607</v>
      </c>
      <c r="T198" s="347" t="s">
        <v>608</v>
      </c>
      <c r="U198" s="347" t="s">
        <v>40</v>
      </c>
      <c r="V198" s="347" t="s">
        <v>1019</v>
      </c>
      <c r="W198" s="347" t="s">
        <v>75</v>
      </c>
      <c r="X198" s="347">
        <f t="shared" si="3"/>
        <v>10</v>
      </c>
    </row>
    <row r="199" spans="1:24" ht="77.099999999999994" customHeight="1" x14ac:dyDescent="0.2">
      <c r="A199" s="347" t="s">
        <v>629</v>
      </c>
      <c r="B199" s="347" t="s">
        <v>626</v>
      </c>
      <c r="C199" s="347">
        <v>0</v>
      </c>
      <c r="D199" s="347">
        <v>0</v>
      </c>
      <c r="E199" s="347">
        <v>0</v>
      </c>
      <c r="F199" s="347">
        <v>0</v>
      </c>
      <c r="G199" s="347">
        <v>0</v>
      </c>
      <c r="H199" s="347">
        <v>1</v>
      </c>
      <c r="I199" s="347">
        <v>0</v>
      </c>
      <c r="J199" s="347">
        <v>1</v>
      </c>
      <c r="K199" s="347"/>
      <c r="L199" s="347" t="s">
        <v>605</v>
      </c>
      <c r="M199" s="347" t="s">
        <v>1019</v>
      </c>
      <c r="N199" s="347" t="s">
        <v>1411</v>
      </c>
      <c r="O199" s="347" t="s">
        <v>606</v>
      </c>
      <c r="P199" s="347" t="s">
        <v>606</v>
      </c>
      <c r="Q199" s="347" t="s">
        <v>606</v>
      </c>
      <c r="R199" s="347"/>
      <c r="S199" s="347" t="s">
        <v>607</v>
      </c>
      <c r="T199" s="347" t="s">
        <v>608</v>
      </c>
      <c r="U199" s="347" t="s">
        <v>40</v>
      </c>
      <c r="V199" s="347" t="s">
        <v>1019</v>
      </c>
      <c r="W199" s="347" t="s">
        <v>75</v>
      </c>
      <c r="X199" s="347">
        <f t="shared" si="3"/>
        <v>10</v>
      </c>
    </row>
    <row r="200" spans="1:24" ht="77.099999999999994" customHeight="1" x14ac:dyDescent="0.2">
      <c r="A200" s="347" t="s">
        <v>631</v>
      </c>
      <c r="B200" s="347" t="s">
        <v>628</v>
      </c>
      <c r="C200" s="347">
        <v>0</v>
      </c>
      <c r="D200" s="347">
        <v>0</v>
      </c>
      <c r="E200" s="347">
        <v>0</v>
      </c>
      <c r="F200" s="347">
        <v>0</v>
      </c>
      <c r="G200" s="347">
        <v>0</v>
      </c>
      <c r="H200" s="347">
        <v>1</v>
      </c>
      <c r="I200" s="347">
        <v>0</v>
      </c>
      <c r="J200" s="347">
        <v>1</v>
      </c>
      <c r="K200" s="347"/>
      <c r="L200" s="347" t="s">
        <v>605</v>
      </c>
      <c r="M200" s="347" t="s">
        <v>1019</v>
      </c>
      <c r="N200" s="347" t="s">
        <v>1411</v>
      </c>
      <c r="O200" s="347" t="s">
        <v>606</v>
      </c>
      <c r="P200" s="347" t="s">
        <v>606</v>
      </c>
      <c r="Q200" s="347" t="s">
        <v>606</v>
      </c>
      <c r="R200" s="347"/>
      <c r="S200" s="347" t="s">
        <v>607</v>
      </c>
      <c r="T200" s="347" t="s">
        <v>608</v>
      </c>
      <c r="U200" s="347" t="s">
        <v>149</v>
      </c>
      <c r="V200" s="347" t="s">
        <v>1019</v>
      </c>
      <c r="W200" s="347" t="s">
        <v>75</v>
      </c>
      <c r="X200" s="347">
        <f t="shared" si="3"/>
        <v>10</v>
      </c>
    </row>
    <row r="201" spans="1:24" ht="77.099999999999994" customHeight="1" x14ac:dyDescent="0.2">
      <c r="A201" s="347" t="s">
        <v>633</v>
      </c>
      <c r="B201" s="347" t="s">
        <v>630</v>
      </c>
      <c r="C201" s="347">
        <v>0</v>
      </c>
      <c r="D201" s="347">
        <v>0</v>
      </c>
      <c r="E201" s="347">
        <v>0</v>
      </c>
      <c r="F201" s="347">
        <v>0</v>
      </c>
      <c r="G201" s="347">
        <v>0</v>
      </c>
      <c r="H201" s="347">
        <v>1</v>
      </c>
      <c r="I201" s="347">
        <v>0</v>
      </c>
      <c r="J201" s="347">
        <v>1</v>
      </c>
      <c r="K201" s="347"/>
      <c r="L201" s="347" t="s">
        <v>605</v>
      </c>
      <c r="M201" s="347" t="s">
        <v>1019</v>
      </c>
      <c r="N201" s="347" t="s">
        <v>1411</v>
      </c>
      <c r="O201" s="347" t="s">
        <v>606</v>
      </c>
      <c r="P201" s="347" t="s">
        <v>606</v>
      </c>
      <c r="Q201" s="347" t="s">
        <v>606</v>
      </c>
      <c r="R201" s="347"/>
      <c r="S201" s="347" t="s">
        <v>607</v>
      </c>
      <c r="T201" s="347" t="s">
        <v>608</v>
      </c>
      <c r="U201" s="347" t="s">
        <v>40</v>
      </c>
      <c r="V201" s="347" t="s">
        <v>1019</v>
      </c>
      <c r="W201" s="347" t="s">
        <v>75</v>
      </c>
      <c r="X201" s="347">
        <f t="shared" si="3"/>
        <v>10</v>
      </c>
    </row>
    <row r="202" spans="1:24" ht="77.099999999999994" customHeight="1" x14ac:dyDescent="0.2">
      <c r="A202" s="347" t="s">
        <v>635</v>
      </c>
      <c r="B202" s="347" t="s">
        <v>632</v>
      </c>
      <c r="C202" s="347">
        <v>0</v>
      </c>
      <c r="D202" s="347">
        <v>0</v>
      </c>
      <c r="E202" s="347">
        <v>0</v>
      </c>
      <c r="F202" s="347">
        <v>0</v>
      </c>
      <c r="G202" s="347">
        <v>0</v>
      </c>
      <c r="H202" s="347">
        <v>1</v>
      </c>
      <c r="I202" s="347">
        <v>0</v>
      </c>
      <c r="J202" s="347">
        <v>1</v>
      </c>
      <c r="K202" s="347"/>
      <c r="L202" s="347" t="s">
        <v>605</v>
      </c>
      <c r="M202" s="347" t="s">
        <v>1019</v>
      </c>
      <c r="N202" s="347" t="s">
        <v>1411</v>
      </c>
      <c r="O202" s="347" t="s">
        <v>606</v>
      </c>
      <c r="P202" s="347" t="s">
        <v>606</v>
      </c>
      <c r="Q202" s="347" t="s">
        <v>606</v>
      </c>
      <c r="R202" s="347"/>
      <c r="S202" s="347" t="s">
        <v>607</v>
      </c>
      <c r="T202" s="347" t="s">
        <v>608</v>
      </c>
      <c r="U202" s="347" t="s">
        <v>40</v>
      </c>
      <c r="V202" s="347" t="s">
        <v>1019</v>
      </c>
      <c r="W202" s="347" t="s">
        <v>75</v>
      </c>
      <c r="X202" s="347">
        <f t="shared" si="3"/>
        <v>10</v>
      </c>
    </row>
    <row r="203" spans="1:24" ht="77.099999999999994" customHeight="1" x14ac:dyDescent="0.2">
      <c r="A203" s="347" t="s">
        <v>637</v>
      </c>
      <c r="B203" s="347" t="s">
        <v>634</v>
      </c>
      <c r="C203" s="347">
        <v>0</v>
      </c>
      <c r="D203" s="347">
        <v>0</v>
      </c>
      <c r="E203" s="347">
        <v>0</v>
      </c>
      <c r="F203" s="347">
        <v>0</v>
      </c>
      <c r="G203" s="347">
        <v>0</v>
      </c>
      <c r="H203" s="347">
        <v>1</v>
      </c>
      <c r="I203" s="347">
        <v>0</v>
      </c>
      <c r="J203" s="347">
        <v>1</v>
      </c>
      <c r="K203" s="347"/>
      <c r="L203" s="347" t="s">
        <v>605</v>
      </c>
      <c r="M203" s="347" t="s">
        <v>1019</v>
      </c>
      <c r="N203" s="347" t="s">
        <v>1411</v>
      </c>
      <c r="O203" s="347" t="s">
        <v>606</v>
      </c>
      <c r="P203" s="347" t="s">
        <v>606</v>
      </c>
      <c r="Q203" s="347" t="s">
        <v>606</v>
      </c>
      <c r="R203" s="347"/>
      <c r="S203" s="347" t="s">
        <v>607</v>
      </c>
      <c r="T203" s="347" t="s">
        <v>608</v>
      </c>
      <c r="U203" s="347" t="s">
        <v>40</v>
      </c>
      <c r="V203" s="347" t="s">
        <v>1019</v>
      </c>
      <c r="W203" s="347" t="s">
        <v>75</v>
      </c>
      <c r="X203" s="347">
        <f t="shared" si="3"/>
        <v>10</v>
      </c>
    </row>
    <row r="204" spans="1:24" ht="77.099999999999994" customHeight="1" x14ac:dyDescent="0.2">
      <c r="A204" s="347" t="s">
        <v>639</v>
      </c>
      <c r="B204" s="347" t="s">
        <v>636</v>
      </c>
      <c r="C204" s="347">
        <v>0</v>
      </c>
      <c r="D204" s="347">
        <v>0</v>
      </c>
      <c r="E204" s="347">
        <v>0</v>
      </c>
      <c r="F204" s="347">
        <v>0</v>
      </c>
      <c r="G204" s="347">
        <v>0</v>
      </c>
      <c r="H204" s="347">
        <v>1</v>
      </c>
      <c r="I204" s="347">
        <v>0</v>
      </c>
      <c r="J204" s="347">
        <v>1</v>
      </c>
      <c r="K204" s="347"/>
      <c r="L204" s="347" t="s">
        <v>605</v>
      </c>
      <c r="M204" s="347" t="s">
        <v>1019</v>
      </c>
      <c r="N204" s="347" t="s">
        <v>1411</v>
      </c>
      <c r="O204" s="347" t="s">
        <v>606</v>
      </c>
      <c r="P204" s="347" t="s">
        <v>606</v>
      </c>
      <c r="Q204" s="347" t="s">
        <v>606</v>
      </c>
      <c r="R204" s="347"/>
      <c r="S204" s="347" t="s">
        <v>607</v>
      </c>
      <c r="T204" s="347" t="s">
        <v>608</v>
      </c>
      <c r="U204" s="347" t="s">
        <v>149</v>
      </c>
      <c r="V204" s="347" t="s">
        <v>1019</v>
      </c>
      <c r="W204" s="347" t="s">
        <v>75</v>
      </c>
      <c r="X204" s="347">
        <f t="shared" si="3"/>
        <v>10</v>
      </c>
    </row>
    <row r="205" spans="1:24" ht="77.099999999999994" customHeight="1" x14ac:dyDescent="0.2">
      <c r="A205" s="347" t="s">
        <v>640</v>
      </c>
      <c r="B205" s="347" t="s">
        <v>638</v>
      </c>
      <c r="C205" s="347">
        <v>0</v>
      </c>
      <c r="D205" s="347">
        <v>0</v>
      </c>
      <c r="E205" s="347">
        <v>0</v>
      </c>
      <c r="F205" s="347">
        <v>0</v>
      </c>
      <c r="G205" s="347">
        <v>0</v>
      </c>
      <c r="H205" s="347">
        <v>1</v>
      </c>
      <c r="I205" s="347">
        <v>0</v>
      </c>
      <c r="J205" s="347">
        <v>1</v>
      </c>
      <c r="K205" s="347"/>
      <c r="L205" s="347" t="s">
        <v>605</v>
      </c>
      <c r="M205" s="347" t="s">
        <v>1019</v>
      </c>
      <c r="N205" s="347" t="s">
        <v>1411</v>
      </c>
      <c r="O205" s="347" t="s">
        <v>606</v>
      </c>
      <c r="P205" s="347" t="s">
        <v>606</v>
      </c>
      <c r="Q205" s="347" t="s">
        <v>606</v>
      </c>
      <c r="R205" s="347"/>
      <c r="S205" s="347" t="s">
        <v>607</v>
      </c>
      <c r="T205" s="347" t="s">
        <v>608</v>
      </c>
      <c r="U205" s="347" t="s">
        <v>40</v>
      </c>
      <c r="V205" s="347" t="s">
        <v>1019</v>
      </c>
      <c r="W205" s="347" t="s">
        <v>75</v>
      </c>
      <c r="X205" s="347">
        <f t="shared" si="3"/>
        <v>10</v>
      </c>
    </row>
    <row r="206" spans="1:24" ht="77.099999999999994" customHeight="1" x14ac:dyDescent="0.2">
      <c r="A206" s="347" t="s">
        <v>642</v>
      </c>
      <c r="B206" s="347" t="s">
        <v>1412</v>
      </c>
      <c r="C206" s="347">
        <v>0</v>
      </c>
      <c r="D206" s="347">
        <v>0</v>
      </c>
      <c r="E206" s="347">
        <v>0</v>
      </c>
      <c r="F206" s="347">
        <v>0</v>
      </c>
      <c r="G206" s="347">
        <v>0</v>
      </c>
      <c r="H206" s="347">
        <v>1</v>
      </c>
      <c r="I206" s="347">
        <v>0</v>
      </c>
      <c r="J206" s="347">
        <v>1</v>
      </c>
      <c r="K206" s="347"/>
      <c r="L206" s="347" t="s">
        <v>605</v>
      </c>
      <c r="M206" s="347" t="s">
        <v>1019</v>
      </c>
      <c r="N206" s="347" t="s">
        <v>1411</v>
      </c>
      <c r="O206" s="347" t="s">
        <v>606</v>
      </c>
      <c r="P206" s="347" t="s">
        <v>606</v>
      </c>
      <c r="Q206" s="347" t="s">
        <v>606</v>
      </c>
      <c r="R206" s="347"/>
      <c r="S206" s="347" t="s">
        <v>607</v>
      </c>
      <c r="T206" s="347" t="s">
        <v>608</v>
      </c>
      <c r="U206" s="347" t="s">
        <v>40</v>
      </c>
      <c r="V206" s="347" t="s">
        <v>1019</v>
      </c>
      <c r="W206" s="347" t="s">
        <v>75</v>
      </c>
      <c r="X206" s="347">
        <f t="shared" si="3"/>
        <v>10</v>
      </c>
    </row>
    <row r="207" spans="1:24" ht="77.099999999999994" customHeight="1" x14ac:dyDescent="0.2">
      <c r="A207" s="347" t="s">
        <v>643</v>
      </c>
      <c r="B207" s="347" t="s">
        <v>641</v>
      </c>
      <c r="C207" s="347">
        <v>0</v>
      </c>
      <c r="D207" s="347">
        <v>0</v>
      </c>
      <c r="E207" s="347">
        <v>0</v>
      </c>
      <c r="F207" s="347">
        <v>0</v>
      </c>
      <c r="G207" s="347">
        <v>0</v>
      </c>
      <c r="H207" s="347">
        <v>1</v>
      </c>
      <c r="I207" s="347">
        <v>0</v>
      </c>
      <c r="J207" s="347">
        <v>1</v>
      </c>
      <c r="K207" s="347"/>
      <c r="L207" s="347" t="s">
        <v>605</v>
      </c>
      <c r="M207" s="347" t="s">
        <v>1019</v>
      </c>
      <c r="N207" s="347" t="s">
        <v>1411</v>
      </c>
      <c r="O207" s="347" t="s">
        <v>606</v>
      </c>
      <c r="P207" s="347" t="s">
        <v>606</v>
      </c>
      <c r="Q207" s="347" t="s">
        <v>606</v>
      </c>
      <c r="R207" s="347"/>
      <c r="S207" s="347" t="s">
        <v>607</v>
      </c>
      <c r="T207" s="347" t="s">
        <v>608</v>
      </c>
      <c r="U207" s="347" t="s">
        <v>40</v>
      </c>
      <c r="V207" s="347" t="s">
        <v>1019</v>
      </c>
      <c r="W207" s="347" t="s">
        <v>75</v>
      </c>
      <c r="X207" s="347">
        <f t="shared" si="3"/>
        <v>10</v>
      </c>
    </row>
    <row r="208" spans="1:24" ht="77.099999999999994" customHeight="1" x14ac:dyDescent="0.2">
      <c r="A208" s="347" t="s">
        <v>644</v>
      </c>
      <c r="B208" s="347" t="s">
        <v>1157</v>
      </c>
      <c r="C208" s="347">
        <v>0</v>
      </c>
      <c r="D208" s="347">
        <v>0</v>
      </c>
      <c r="E208" s="347">
        <v>0</v>
      </c>
      <c r="F208" s="347">
        <v>0</v>
      </c>
      <c r="G208" s="347">
        <v>0</v>
      </c>
      <c r="H208" s="347">
        <v>1</v>
      </c>
      <c r="I208" s="347">
        <v>0</v>
      </c>
      <c r="J208" s="347">
        <v>1</v>
      </c>
      <c r="K208" s="347"/>
      <c r="L208" s="347" t="s">
        <v>605</v>
      </c>
      <c r="M208" s="347" t="s">
        <v>1019</v>
      </c>
      <c r="N208" s="347" t="s">
        <v>1411</v>
      </c>
      <c r="O208" s="347" t="s">
        <v>606</v>
      </c>
      <c r="P208" s="347" t="s">
        <v>606</v>
      </c>
      <c r="Q208" s="347" t="s">
        <v>606</v>
      </c>
      <c r="R208" s="347"/>
      <c r="S208" s="347" t="s">
        <v>607</v>
      </c>
      <c r="T208" s="347" t="s">
        <v>608</v>
      </c>
      <c r="U208" s="347" t="s">
        <v>40</v>
      </c>
      <c r="V208" s="347" t="s">
        <v>1019</v>
      </c>
      <c r="W208" s="347" t="s">
        <v>75</v>
      </c>
      <c r="X208" s="347">
        <f t="shared" si="3"/>
        <v>10</v>
      </c>
    </row>
    <row r="209" spans="1:24" ht="77.099999999999994" customHeight="1" x14ac:dyDescent="0.2">
      <c r="A209" s="347" t="s">
        <v>646</v>
      </c>
      <c r="B209" s="347" t="s">
        <v>1587</v>
      </c>
      <c r="C209" s="347">
        <v>0</v>
      </c>
      <c r="D209" s="347">
        <v>0</v>
      </c>
      <c r="E209" s="347">
        <v>0</v>
      </c>
      <c r="F209" s="347">
        <v>0</v>
      </c>
      <c r="G209" s="347">
        <v>0</v>
      </c>
      <c r="H209" s="347">
        <v>1</v>
      </c>
      <c r="I209" s="347">
        <v>0</v>
      </c>
      <c r="J209" s="347">
        <v>1</v>
      </c>
      <c r="K209" s="347"/>
      <c r="L209" s="347" t="s">
        <v>605</v>
      </c>
      <c r="M209" s="347" t="s">
        <v>1019</v>
      </c>
      <c r="N209" s="347" t="s">
        <v>1411</v>
      </c>
      <c r="O209" s="347" t="s">
        <v>606</v>
      </c>
      <c r="P209" s="347" t="s">
        <v>1589</v>
      </c>
      <c r="Q209" s="347" t="s">
        <v>1589</v>
      </c>
      <c r="R209" s="347"/>
      <c r="S209" s="347" t="s">
        <v>607</v>
      </c>
      <c r="T209" s="347" t="s">
        <v>608</v>
      </c>
      <c r="U209" s="347" t="s">
        <v>40</v>
      </c>
      <c r="V209" s="347" t="s">
        <v>1019</v>
      </c>
      <c r="W209" s="347" t="s">
        <v>75</v>
      </c>
      <c r="X209" s="347">
        <f t="shared" si="3"/>
        <v>10</v>
      </c>
    </row>
    <row r="210" spans="1:24" ht="77.099999999999994" customHeight="1" x14ac:dyDescent="0.2">
      <c r="A210" s="347" t="s">
        <v>648</v>
      </c>
      <c r="B210" s="347" t="s">
        <v>645</v>
      </c>
      <c r="C210" s="347">
        <v>0</v>
      </c>
      <c r="D210" s="347">
        <v>0</v>
      </c>
      <c r="E210" s="347">
        <v>0</v>
      </c>
      <c r="F210" s="347">
        <v>0</v>
      </c>
      <c r="G210" s="347">
        <v>0</v>
      </c>
      <c r="H210" s="347">
        <v>1</v>
      </c>
      <c r="I210" s="347">
        <v>0</v>
      </c>
      <c r="J210" s="347">
        <v>1</v>
      </c>
      <c r="K210" s="347"/>
      <c r="L210" s="347" t="s">
        <v>605</v>
      </c>
      <c r="M210" s="347" t="s">
        <v>1019</v>
      </c>
      <c r="N210" s="347" t="s">
        <v>1411</v>
      </c>
      <c r="O210" s="347" t="s">
        <v>606</v>
      </c>
      <c r="P210" s="347" t="s">
        <v>606</v>
      </c>
      <c r="Q210" s="347" t="s">
        <v>606</v>
      </c>
      <c r="R210" s="347"/>
      <c r="S210" s="347" t="s">
        <v>607</v>
      </c>
      <c r="T210" s="347" t="s">
        <v>608</v>
      </c>
      <c r="U210" s="347" t="s">
        <v>40</v>
      </c>
      <c r="V210" s="347" t="s">
        <v>1019</v>
      </c>
      <c r="W210" s="347" t="s">
        <v>75</v>
      </c>
      <c r="X210" s="347">
        <f t="shared" si="3"/>
        <v>10</v>
      </c>
    </row>
    <row r="211" spans="1:24" ht="77.099999999999994" customHeight="1" x14ac:dyDescent="0.2">
      <c r="A211" s="347" t="s">
        <v>650</v>
      </c>
      <c r="B211" s="347" t="s">
        <v>647</v>
      </c>
      <c r="C211" s="347">
        <v>0</v>
      </c>
      <c r="D211" s="347">
        <v>0</v>
      </c>
      <c r="E211" s="347">
        <v>0</v>
      </c>
      <c r="F211" s="347">
        <v>0</v>
      </c>
      <c r="G211" s="347">
        <v>0</v>
      </c>
      <c r="H211" s="347">
        <v>1</v>
      </c>
      <c r="I211" s="347">
        <v>0</v>
      </c>
      <c r="J211" s="347">
        <v>1</v>
      </c>
      <c r="K211" s="347"/>
      <c r="L211" s="347" t="s">
        <v>605</v>
      </c>
      <c r="M211" s="347" t="s">
        <v>1019</v>
      </c>
      <c r="N211" s="347" t="s">
        <v>1411</v>
      </c>
      <c r="O211" s="347" t="s">
        <v>606</v>
      </c>
      <c r="P211" s="347" t="s">
        <v>606</v>
      </c>
      <c r="Q211" s="347" t="s">
        <v>606</v>
      </c>
      <c r="R211" s="347"/>
      <c r="S211" s="347" t="s">
        <v>607</v>
      </c>
      <c r="T211" s="347" t="s">
        <v>608</v>
      </c>
      <c r="U211" s="347" t="s">
        <v>40</v>
      </c>
      <c r="V211" s="347" t="s">
        <v>1019</v>
      </c>
      <c r="W211" s="347" t="s">
        <v>75</v>
      </c>
      <c r="X211" s="347">
        <f t="shared" si="3"/>
        <v>10</v>
      </c>
    </row>
    <row r="212" spans="1:24" ht="77.099999999999994" customHeight="1" x14ac:dyDescent="0.2">
      <c r="A212" s="347" t="s">
        <v>652</v>
      </c>
      <c r="B212" s="347" t="s">
        <v>651</v>
      </c>
      <c r="C212" s="347">
        <v>0</v>
      </c>
      <c r="D212" s="347">
        <v>0</v>
      </c>
      <c r="E212" s="347">
        <v>0</v>
      </c>
      <c r="F212" s="347">
        <v>0</v>
      </c>
      <c r="G212" s="347">
        <v>0</v>
      </c>
      <c r="H212" s="347">
        <v>1</v>
      </c>
      <c r="I212" s="347">
        <v>0</v>
      </c>
      <c r="J212" s="347">
        <v>1</v>
      </c>
      <c r="K212" s="347"/>
      <c r="L212" s="347" t="s">
        <v>605</v>
      </c>
      <c r="M212" s="347" t="s">
        <v>1019</v>
      </c>
      <c r="N212" s="347" t="s">
        <v>1411</v>
      </c>
      <c r="O212" s="347" t="s">
        <v>606</v>
      </c>
      <c r="P212" s="347" t="s">
        <v>606</v>
      </c>
      <c r="Q212" s="347" t="s">
        <v>606</v>
      </c>
      <c r="R212" s="347"/>
      <c r="S212" s="347" t="s">
        <v>607</v>
      </c>
      <c r="T212" s="347" t="s">
        <v>608</v>
      </c>
      <c r="U212" s="347" t="s">
        <v>40</v>
      </c>
      <c r="V212" s="347" t="s">
        <v>1019</v>
      </c>
      <c r="W212" s="347" t="s">
        <v>75</v>
      </c>
      <c r="X212" s="347">
        <f t="shared" si="3"/>
        <v>10</v>
      </c>
    </row>
    <row r="213" spans="1:24" ht="77.099999999999994" customHeight="1" x14ac:dyDescent="0.2">
      <c r="A213" s="347" t="s">
        <v>653</v>
      </c>
      <c r="B213" s="347" t="s">
        <v>654</v>
      </c>
      <c r="C213" s="347">
        <v>0</v>
      </c>
      <c r="D213" s="347">
        <v>0</v>
      </c>
      <c r="E213" s="347">
        <v>0</v>
      </c>
      <c r="F213" s="347">
        <v>0</v>
      </c>
      <c r="G213" s="347">
        <v>0</v>
      </c>
      <c r="H213" s="347">
        <v>1</v>
      </c>
      <c r="I213" s="347">
        <v>0</v>
      </c>
      <c r="J213" s="347">
        <v>1</v>
      </c>
      <c r="K213" s="347"/>
      <c r="L213" s="347" t="s">
        <v>605</v>
      </c>
      <c r="M213" s="347" t="s">
        <v>1019</v>
      </c>
      <c r="N213" s="347" t="s">
        <v>1411</v>
      </c>
      <c r="O213" s="347" t="s">
        <v>606</v>
      </c>
      <c r="P213" s="347" t="s">
        <v>606</v>
      </c>
      <c r="Q213" s="347" t="s">
        <v>606</v>
      </c>
      <c r="R213" s="347"/>
      <c r="S213" s="347" t="s">
        <v>607</v>
      </c>
      <c r="T213" s="347" t="s">
        <v>608</v>
      </c>
      <c r="U213" s="347" t="s">
        <v>40</v>
      </c>
      <c r="V213" s="347" t="s">
        <v>1019</v>
      </c>
      <c r="W213" s="347" t="s">
        <v>75</v>
      </c>
      <c r="X213" s="347">
        <f t="shared" si="3"/>
        <v>10</v>
      </c>
    </row>
    <row r="214" spans="1:24" ht="77.099999999999994" customHeight="1" x14ac:dyDescent="0.2">
      <c r="A214" s="347" t="s">
        <v>655</v>
      </c>
      <c r="B214" s="347" t="s">
        <v>656</v>
      </c>
      <c r="C214" s="347">
        <v>0</v>
      </c>
      <c r="D214" s="347">
        <v>0</v>
      </c>
      <c r="E214" s="347">
        <v>0</v>
      </c>
      <c r="F214" s="347">
        <v>0</v>
      </c>
      <c r="G214" s="347">
        <v>0</v>
      </c>
      <c r="H214" s="347">
        <v>1</v>
      </c>
      <c r="I214" s="347">
        <v>0</v>
      </c>
      <c r="J214" s="347">
        <v>1</v>
      </c>
      <c r="K214" s="347"/>
      <c r="L214" s="347" t="s">
        <v>605</v>
      </c>
      <c r="M214" s="347" t="s">
        <v>1019</v>
      </c>
      <c r="N214" s="347" t="s">
        <v>1411</v>
      </c>
      <c r="O214" s="347" t="s">
        <v>606</v>
      </c>
      <c r="P214" s="347" t="s">
        <v>606</v>
      </c>
      <c r="Q214" s="347" t="s">
        <v>606</v>
      </c>
      <c r="R214" s="347"/>
      <c r="S214" s="347" t="s">
        <v>607</v>
      </c>
      <c r="T214" s="347" t="s">
        <v>608</v>
      </c>
      <c r="U214" s="347" t="s">
        <v>40</v>
      </c>
      <c r="V214" s="347" t="s">
        <v>1019</v>
      </c>
      <c r="W214" s="347" t="s">
        <v>75</v>
      </c>
      <c r="X214" s="347">
        <f t="shared" si="3"/>
        <v>10</v>
      </c>
    </row>
    <row r="215" spans="1:24" ht="77.099999999999994" customHeight="1" x14ac:dyDescent="0.2">
      <c r="A215" s="347" t="s">
        <v>657</v>
      </c>
      <c r="B215" s="347" t="s">
        <v>649</v>
      </c>
      <c r="C215" s="347">
        <v>0</v>
      </c>
      <c r="D215" s="347">
        <v>0</v>
      </c>
      <c r="E215" s="347">
        <v>0</v>
      </c>
      <c r="F215" s="347">
        <v>0</v>
      </c>
      <c r="G215" s="347">
        <v>0</v>
      </c>
      <c r="H215" s="347">
        <v>1</v>
      </c>
      <c r="I215" s="347">
        <v>0</v>
      </c>
      <c r="J215" s="347">
        <v>1</v>
      </c>
      <c r="K215" s="347"/>
      <c r="L215" s="347" t="s">
        <v>605</v>
      </c>
      <c r="M215" s="347" t="s">
        <v>1019</v>
      </c>
      <c r="N215" s="347" t="s">
        <v>1411</v>
      </c>
      <c r="O215" s="347" t="s">
        <v>606</v>
      </c>
      <c r="P215" s="347" t="s">
        <v>606</v>
      </c>
      <c r="Q215" s="347" t="s">
        <v>606</v>
      </c>
      <c r="R215" s="347"/>
      <c r="S215" s="347" t="s">
        <v>607</v>
      </c>
      <c r="T215" s="347" t="s">
        <v>608</v>
      </c>
      <c r="U215" s="347" t="s">
        <v>40</v>
      </c>
      <c r="V215" s="347" t="s">
        <v>1019</v>
      </c>
      <c r="W215" s="347" t="s">
        <v>41</v>
      </c>
      <c r="X215" s="347">
        <f t="shared" si="3"/>
        <v>5</v>
      </c>
    </row>
    <row r="216" spans="1:24" ht="60.75" customHeight="1" x14ac:dyDescent="0.2">
      <c r="A216" s="347" t="s">
        <v>658</v>
      </c>
      <c r="B216" s="347" t="s">
        <v>1052</v>
      </c>
      <c r="C216" s="347">
        <v>0</v>
      </c>
      <c r="D216" s="347">
        <v>0</v>
      </c>
      <c r="E216" s="347">
        <v>0</v>
      </c>
      <c r="F216" s="347">
        <v>0</v>
      </c>
      <c r="G216" s="347">
        <v>0</v>
      </c>
      <c r="H216" s="347">
        <v>1</v>
      </c>
      <c r="I216" s="347">
        <v>0</v>
      </c>
      <c r="J216" s="347">
        <v>1</v>
      </c>
      <c r="K216" s="347"/>
      <c r="L216" s="347" t="s">
        <v>148</v>
      </c>
      <c r="M216" s="347" t="s">
        <v>1019</v>
      </c>
      <c r="N216" s="347" t="s">
        <v>1413</v>
      </c>
      <c r="O216" s="347" t="s">
        <v>659</v>
      </c>
      <c r="P216" s="347" t="s">
        <v>659</v>
      </c>
      <c r="Q216" s="347" t="s">
        <v>659</v>
      </c>
      <c r="R216" s="347"/>
      <c r="S216" s="347" t="s">
        <v>660</v>
      </c>
      <c r="T216" s="347" t="s">
        <v>661</v>
      </c>
      <c r="U216" s="347" t="s">
        <v>40</v>
      </c>
      <c r="V216" s="347" t="s">
        <v>1019</v>
      </c>
      <c r="W216" s="347" t="s">
        <v>46</v>
      </c>
      <c r="X216" s="347">
        <f t="shared" si="3"/>
        <v>20</v>
      </c>
    </row>
    <row r="217" spans="1:24" ht="57" x14ac:dyDescent="0.2">
      <c r="A217" s="347" t="s">
        <v>662</v>
      </c>
      <c r="B217" s="347" t="s">
        <v>1053</v>
      </c>
      <c r="C217" s="347">
        <v>0</v>
      </c>
      <c r="D217" s="347">
        <v>0</v>
      </c>
      <c r="E217" s="347">
        <v>0</v>
      </c>
      <c r="F217" s="347">
        <v>0</v>
      </c>
      <c r="G217" s="347">
        <v>0</v>
      </c>
      <c r="H217" s="347">
        <v>1</v>
      </c>
      <c r="I217" s="347">
        <v>0</v>
      </c>
      <c r="J217" s="347">
        <v>1</v>
      </c>
      <c r="K217" s="347"/>
      <c r="L217" s="347" t="s">
        <v>148</v>
      </c>
      <c r="M217" s="347" t="s">
        <v>1019</v>
      </c>
      <c r="N217" s="347" t="s">
        <v>1413</v>
      </c>
      <c r="O217" s="347" t="s">
        <v>659</v>
      </c>
      <c r="P217" s="347" t="s">
        <v>659</v>
      </c>
      <c r="Q217" s="347" t="s">
        <v>659</v>
      </c>
      <c r="R217" s="347"/>
      <c r="S217" s="347" t="s">
        <v>660</v>
      </c>
      <c r="T217" s="347" t="s">
        <v>661</v>
      </c>
      <c r="U217" s="347" t="s">
        <v>149</v>
      </c>
      <c r="V217" s="347" t="s">
        <v>1019</v>
      </c>
      <c r="W217" s="347" t="s">
        <v>46</v>
      </c>
      <c r="X217" s="347">
        <f t="shared" si="3"/>
        <v>20</v>
      </c>
    </row>
    <row r="218" spans="1:24" ht="57" x14ac:dyDescent="0.2">
      <c r="A218" s="347" t="s">
        <v>664</v>
      </c>
      <c r="B218" s="347" t="s">
        <v>1230</v>
      </c>
      <c r="C218" s="347">
        <v>0</v>
      </c>
      <c r="D218" s="347">
        <v>0</v>
      </c>
      <c r="E218" s="347">
        <v>0</v>
      </c>
      <c r="F218" s="347">
        <v>0</v>
      </c>
      <c r="G218" s="347">
        <v>0</v>
      </c>
      <c r="H218" s="347">
        <v>1</v>
      </c>
      <c r="I218" s="347">
        <v>0</v>
      </c>
      <c r="J218" s="347">
        <v>1</v>
      </c>
      <c r="K218" s="347"/>
      <c r="L218" s="347" t="s">
        <v>148</v>
      </c>
      <c r="M218" s="347" t="s">
        <v>1019</v>
      </c>
      <c r="N218" s="347" t="s">
        <v>1413</v>
      </c>
      <c r="O218" s="347" t="s">
        <v>659</v>
      </c>
      <c r="P218" s="347" t="s">
        <v>659</v>
      </c>
      <c r="Q218" s="347" t="s">
        <v>659</v>
      </c>
      <c r="R218" s="347"/>
      <c r="S218" s="347" t="s">
        <v>660</v>
      </c>
      <c r="T218" s="347" t="s">
        <v>661</v>
      </c>
      <c r="U218" s="347" t="s">
        <v>149</v>
      </c>
      <c r="V218" s="347" t="s">
        <v>1019</v>
      </c>
      <c r="W218" s="347" t="s">
        <v>46</v>
      </c>
      <c r="X218" s="347">
        <f t="shared" si="3"/>
        <v>20</v>
      </c>
    </row>
    <row r="219" spans="1:24" ht="57" x14ac:dyDescent="0.2">
      <c r="A219" s="347" t="s">
        <v>665</v>
      </c>
      <c r="B219" s="347" t="s">
        <v>1231</v>
      </c>
      <c r="C219" s="347">
        <v>0</v>
      </c>
      <c r="D219" s="347">
        <v>0</v>
      </c>
      <c r="E219" s="347">
        <v>0</v>
      </c>
      <c r="F219" s="347">
        <v>0</v>
      </c>
      <c r="G219" s="347">
        <v>0</v>
      </c>
      <c r="H219" s="347">
        <v>1</v>
      </c>
      <c r="I219" s="347">
        <v>0</v>
      </c>
      <c r="J219" s="347">
        <v>1</v>
      </c>
      <c r="K219" s="347"/>
      <c r="L219" s="347" t="s">
        <v>148</v>
      </c>
      <c r="M219" s="347" t="s">
        <v>1019</v>
      </c>
      <c r="N219" s="347" t="s">
        <v>1413</v>
      </c>
      <c r="O219" s="347" t="s">
        <v>659</v>
      </c>
      <c r="P219" s="347" t="s">
        <v>659</v>
      </c>
      <c r="Q219" s="347" t="s">
        <v>659</v>
      </c>
      <c r="R219" s="347"/>
      <c r="S219" s="347" t="s">
        <v>660</v>
      </c>
      <c r="T219" s="347" t="s">
        <v>661</v>
      </c>
      <c r="U219" s="347" t="s">
        <v>40</v>
      </c>
      <c r="V219" s="347" t="s">
        <v>1019</v>
      </c>
      <c r="W219" s="347" t="s">
        <v>75</v>
      </c>
      <c r="X219" s="347">
        <f t="shared" si="3"/>
        <v>10</v>
      </c>
    </row>
    <row r="220" spans="1:24" ht="57" x14ac:dyDescent="0.2">
      <c r="A220" s="347" t="s">
        <v>667</v>
      </c>
      <c r="B220" s="347" t="s">
        <v>663</v>
      </c>
      <c r="C220" s="347">
        <v>0</v>
      </c>
      <c r="D220" s="347">
        <v>0</v>
      </c>
      <c r="E220" s="347">
        <v>0</v>
      </c>
      <c r="F220" s="347">
        <v>0</v>
      </c>
      <c r="G220" s="347">
        <v>0</v>
      </c>
      <c r="H220" s="347">
        <v>1</v>
      </c>
      <c r="I220" s="347">
        <v>0</v>
      </c>
      <c r="J220" s="347">
        <v>1</v>
      </c>
      <c r="K220" s="347"/>
      <c r="L220" s="347" t="s">
        <v>148</v>
      </c>
      <c r="M220" s="347" t="s">
        <v>1019</v>
      </c>
      <c r="N220" s="347" t="s">
        <v>1413</v>
      </c>
      <c r="O220" s="347" t="s">
        <v>659</v>
      </c>
      <c r="P220" s="347" t="s">
        <v>659</v>
      </c>
      <c r="Q220" s="347" t="s">
        <v>659</v>
      </c>
      <c r="R220" s="347"/>
      <c r="S220" s="347" t="s">
        <v>660</v>
      </c>
      <c r="T220" s="347" t="s">
        <v>661</v>
      </c>
      <c r="U220" s="347" t="s">
        <v>40</v>
      </c>
      <c r="V220" s="347" t="s">
        <v>1019</v>
      </c>
      <c r="W220" s="347" t="s">
        <v>75</v>
      </c>
      <c r="X220" s="347">
        <f t="shared" si="3"/>
        <v>10</v>
      </c>
    </row>
    <row r="221" spans="1:24" ht="57" x14ac:dyDescent="0.2">
      <c r="A221" s="347" t="s">
        <v>668</v>
      </c>
      <c r="B221" s="347" t="s">
        <v>666</v>
      </c>
      <c r="C221" s="347">
        <v>0</v>
      </c>
      <c r="D221" s="347">
        <v>0</v>
      </c>
      <c r="E221" s="347">
        <v>0</v>
      </c>
      <c r="F221" s="347">
        <v>0</v>
      </c>
      <c r="G221" s="347">
        <v>0</v>
      </c>
      <c r="H221" s="347">
        <v>1</v>
      </c>
      <c r="I221" s="347">
        <v>0</v>
      </c>
      <c r="J221" s="347">
        <v>1</v>
      </c>
      <c r="K221" s="347"/>
      <c r="L221" s="347" t="s">
        <v>148</v>
      </c>
      <c r="M221" s="347" t="s">
        <v>1019</v>
      </c>
      <c r="N221" s="347" t="s">
        <v>1413</v>
      </c>
      <c r="O221" s="347" t="s">
        <v>659</v>
      </c>
      <c r="P221" s="347" t="s">
        <v>659</v>
      </c>
      <c r="Q221" s="347" t="s">
        <v>659</v>
      </c>
      <c r="R221" s="347"/>
      <c r="S221" s="347" t="s">
        <v>660</v>
      </c>
      <c r="T221" s="347" t="s">
        <v>661</v>
      </c>
      <c r="U221" s="347" t="s">
        <v>40</v>
      </c>
      <c r="V221" s="347" t="s">
        <v>1019</v>
      </c>
      <c r="W221" s="347" t="s">
        <v>75</v>
      </c>
      <c r="X221" s="347">
        <f t="shared" si="3"/>
        <v>10</v>
      </c>
    </row>
    <row r="222" spans="1:24" ht="57" x14ac:dyDescent="0.2">
      <c r="A222" s="347" t="s">
        <v>670</v>
      </c>
      <c r="B222" s="347" t="s">
        <v>1486</v>
      </c>
      <c r="C222" s="347">
        <v>0</v>
      </c>
      <c r="D222" s="347">
        <v>0</v>
      </c>
      <c r="E222" s="347">
        <v>0</v>
      </c>
      <c r="F222" s="347">
        <v>0</v>
      </c>
      <c r="G222" s="347">
        <v>0</v>
      </c>
      <c r="H222" s="347">
        <v>1</v>
      </c>
      <c r="I222" s="347">
        <v>0</v>
      </c>
      <c r="J222" s="347">
        <v>1</v>
      </c>
      <c r="K222" s="347"/>
      <c r="L222" s="347" t="s">
        <v>148</v>
      </c>
      <c r="M222" s="347" t="s">
        <v>1019</v>
      </c>
      <c r="N222" s="347" t="s">
        <v>1413</v>
      </c>
      <c r="O222" s="347" t="s">
        <v>659</v>
      </c>
      <c r="P222" s="347" t="s">
        <v>659</v>
      </c>
      <c r="Q222" s="347" t="s">
        <v>659</v>
      </c>
      <c r="R222" s="347"/>
      <c r="S222" s="347" t="s">
        <v>660</v>
      </c>
      <c r="T222" s="347" t="s">
        <v>661</v>
      </c>
      <c r="U222" s="347" t="s">
        <v>40</v>
      </c>
      <c r="V222" s="347" t="s">
        <v>1019</v>
      </c>
      <c r="W222" s="347" t="s">
        <v>75</v>
      </c>
      <c r="X222" s="347">
        <f t="shared" si="3"/>
        <v>10</v>
      </c>
    </row>
    <row r="223" spans="1:24" ht="57" x14ac:dyDescent="0.2">
      <c r="A223" s="347" t="s">
        <v>672</v>
      </c>
      <c r="B223" s="347" t="s">
        <v>669</v>
      </c>
      <c r="C223" s="347">
        <v>0</v>
      </c>
      <c r="D223" s="347">
        <v>0</v>
      </c>
      <c r="E223" s="347">
        <v>0</v>
      </c>
      <c r="F223" s="347">
        <v>0</v>
      </c>
      <c r="G223" s="347">
        <v>0</v>
      </c>
      <c r="H223" s="347">
        <v>1</v>
      </c>
      <c r="I223" s="347">
        <v>0</v>
      </c>
      <c r="J223" s="347">
        <v>1</v>
      </c>
      <c r="K223" s="347"/>
      <c r="L223" s="347" t="s">
        <v>148</v>
      </c>
      <c r="M223" s="347" t="s">
        <v>1019</v>
      </c>
      <c r="N223" s="347" t="s">
        <v>1413</v>
      </c>
      <c r="O223" s="347" t="s">
        <v>659</v>
      </c>
      <c r="P223" s="347" t="s">
        <v>659</v>
      </c>
      <c r="Q223" s="347" t="s">
        <v>659</v>
      </c>
      <c r="R223" s="347"/>
      <c r="S223" s="347" t="s">
        <v>660</v>
      </c>
      <c r="T223" s="347" t="s">
        <v>661</v>
      </c>
      <c r="U223" s="347" t="s">
        <v>40</v>
      </c>
      <c r="V223" s="347" t="s">
        <v>1019</v>
      </c>
      <c r="W223" s="347" t="s">
        <v>75</v>
      </c>
      <c r="X223" s="347">
        <f t="shared" si="3"/>
        <v>10</v>
      </c>
    </row>
    <row r="224" spans="1:24" ht="57" x14ac:dyDescent="0.2">
      <c r="A224" s="347" t="s">
        <v>674</v>
      </c>
      <c r="B224" s="347" t="s">
        <v>671</v>
      </c>
      <c r="C224" s="347">
        <v>0</v>
      </c>
      <c r="D224" s="347">
        <v>0</v>
      </c>
      <c r="E224" s="347">
        <v>0</v>
      </c>
      <c r="F224" s="347">
        <v>0</v>
      </c>
      <c r="G224" s="347">
        <v>0</v>
      </c>
      <c r="H224" s="347">
        <v>1</v>
      </c>
      <c r="I224" s="347">
        <v>0</v>
      </c>
      <c r="J224" s="347">
        <v>1</v>
      </c>
      <c r="K224" s="347"/>
      <c r="L224" s="347" t="s">
        <v>1040</v>
      </c>
      <c r="M224" s="347" t="s">
        <v>1019</v>
      </c>
      <c r="N224" s="347" t="s">
        <v>1413</v>
      </c>
      <c r="O224" s="347" t="s">
        <v>659</v>
      </c>
      <c r="P224" s="347" t="s">
        <v>659</v>
      </c>
      <c r="Q224" s="347" t="s">
        <v>659</v>
      </c>
      <c r="R224" s="347"/>
      <c r="S224" s="347" t="s">
        <v>660</v>
      </c>
      <c r="T224" s="347" t="s">
        <v>661</v>
      </c>
      <c r="U224" s="347" t="s">
        <v>1040</v>
      </c>
      <c r="V224" s="347" t="s">
        <v>1019</v>
      </c>
      <c r="W224" s="347"/>
      <c r="X224" s="347"/>
    </row>
    <row r="225" spans="1:24" ht="57" x14ac:dyDescent="0.2">
      <c r="A225" s="347" t="s">
        <v>675</v>
      </c>
      <c r="B225" s="347" t="s">
        <v>673</v>
      </c>
      <c r="C225" s="347">
        <v>0</v>
      </c>
      <c r="D225" s="347">
        <v>0</v>
      </c>
      <c r="E225" s="347">
        <v>0</v>
      </c>
      <c r="F225" s="347">
        <v>0</v>
      </c>
      <c r="G225" s="347">
        <v>0</v>
      </c>
      <c r="H225" s="347">
        <v>1</v>
      </c>
      <c r="I225" s="347">
        <v>0</v>
      </c>
      <c r="J225" s="347">
        <v>1</v>
      </c>
      <c r="K225" s="347"/>
      <c r="L225" s="347" t="s">
        <v>148</v>
      </c>
      <c r="M225" s="347" t="s">
        <v>1019</v>
      </c>
      <c r="N225" s="347" t="s">
        <v>1413</v>
      </c>
      <c r="O225" s="347" t="s">
        <v>659</v>
      </c>
      <c r="P225" s="347" t="s">
        <v>659</v>
      </c>
      <c r="Q225" s="347" t="s">
        <v>659</v>
      </c>
      <c r="R225" s="347"/>
      <c r="S225" s="347" t="s">
        <v>660</v>
      </c>
      <c r="T225" s="347" t="s">
        <v>661</v>
      </c>
      <c r="U225" s="347" t="s">
        <v>1040</v>
      </c>
      <c r="V225" s="347" t="s">
        <v>1019</v>
      </c>
      <c r="W225" s="347"/>
      <c r="X225" s="347"/>
    </row>
    <row r="226" spans="1:24" ht="57" x14ac:dyDescent="0.2">
      <c r="A226" s="347" t="s">
        <v>676</v>
      </c>
      <c r="B226" s="347" t="s">
        <v>1065</v>
      </c>
      <c r="C226" s="347">
        <v>0</v>
      </c>
      <c r="D226" s="347">
        <v>0</v>
      </c>
      <c r="E226" s="347">
        <v>0</v>
      </c>
      <c r="F226" s="347">
        <v>0</v>
      </c>
      <c r="G226" s="347">
        <v>0</v>
      </c>
      <c r="H226" s="347">
        <v>1</v>
      </c>
      <c r="I226" s="347">
        <v>0</v>
      </c>
      <c r="J226" s="347">
        <v>1</v>
      </c>
      <c r="K226" s="347"/>
      <c r="L226" s="347" t="s">
        <v>148</v>
      </c>
      <c r="M226" s="347" t="s">
        <v>1019</v>
      </c>
      <c r="N226" s="347" t="s">
        <v>1413</v>
      </c>
      <c r="O226" s="347" t="s">
        <v>659</v>
      </c>
      <c r="P226" s="347" t="s">
        <v>659</v>
      </c>
      <c r="Q226" s="347" t="s">
        <v>659</v>
      </c>
      <c r="R226" s="347"/>
      <c r="S226" s="347" t="s">
        <v>660</v>
      </c>
      <c r="T226" s="347" t="s">
        <v>661</v>
      </c>
      <c r="U226" s="347" t="s">
        <v>40</v>
      </c>
      <c r="V226" s="347" t="s">
        <v>1019</v>
      </c>
      <c r="W226" s="347" t="s">
        <v>41</v>
      </c>
      <c r="X226" s="347">
        <f t="shared" si="3"/>
        <v>5</v>
      </c>
    </row>
    <row r="227" spans="1:24" ht="71.25" x14ac:dyDescent="0.2">
      <c r="A227" s="347" t="s">
        <v>677</v>
      </c>
      <c r="B227" s="347" t="s">
        <v>1158</v>
      </c>
      <c r="C227" s="347">
        <v>0</v>
      </c>
      <c r="D227" s="347">
        <v>0</v>
      </c>
      <c r="E227" s="347">
        <v>0</v>
      </c>
      <c r="F227" s="347">
        <v>0</v>
      </c>
      <c r="G227" s="347">
        <v>0</v>
      </c>
      <c r="H227" s="347">
        <v>1</v>
      </c>
      <c r="I227" s="347">
        <v>0</v>
      </c>
      <c r="J227" s="347">
        <v>1</v>
      </c>
      <c r="K227" s="347"/>
      <c r="L227" s="347" t="s">
        <v>1040</v>
      </c>
      <c r="M227" s="347" t="s">
        <v>1019</v>
      </c>
      <c r="N227" s="347" t="s">
        <v>1413</v>
      </c>
      <c r="O227" s="347" t="s">
        <v>659</v>
      </c>
      <c r="P227" s="347" t="s">
        <v>659</v>
      </c>
      <c r="Q227" s="347" t="s">
        <v>659</v>
      </c>
      <c r="R227" s="347"/>
      <c r="S227" s="347" t="s">
        <v>660</v>
      </c>
      <c r="T227" s="347" t="s">
        <v>661</v>
      </c>
      <c r="U227" s="347" t="s">
        <v>1040</v>
      </c>
      <c r="V227" s="347" t="s">
        <v>1019</v>
      </c>
      <c r="W227" s="347"/>
      <c r="X227" s="347"/>
    </row>
    <row r="228" spans="1:24" ht="235.5" customHeight="1" x14ac:dyDescent="0.2">
      <c r="A228" s="226" t="s">
        <v>678</v>
      </c>
      <c r="B228" s="347" t="s">
        <v>685</v>
      </c>
      <c r="C228" s="347">
        <v>0</v>
      </c>
      <c r="D228" s="347">
        <v>0</v>
      </c>
      <c r="E228" s="347">
        <v>0</v>
      </c>
      <c r="F228" s="347">
        <v>0</v>
      </c>
      <c r="G228" s="347">
        <v>0</v>
      </c>
      <c r="H228" s="347">
        <v>1</v>
      </c>
      <c r="I228" s="347">
        <v>0</v>
      </c>
      <c r="J228" s="347">
        <v>0</v>
      </c>
      <c r="K228" s="347"/>
      <c r="L228" s="347" t="s">
        <v>148</v>
      </c>
      <c r="M228" s="347" t="s">
        <v>1011</v>
      </c>
      <c r="N228" s="347" t="s">
        <v>1414</v>
      </c>
      <c r="O228" s="347" t="s">
        <v>1011</v>
      </c>
      <c r="P228" s="347" t="s">
        <v>686</v>
      </c>
      <c r="Q228" s="347" t="s">
        <v>687</v>
      </c>
      <c r="R228" s="347"/>
      <c r="S228" s="347" t="s">
        <v>1259</v>
      </c>
      <c r="T228" s="347" t="s">
        <v>1415</v>
      </c>
      <c r="U228" s="347" t="s">
        <v>40</v>
      </c>
      <c r="V228" s="347" t="s">
        <v>1011</v>
      </c>
      <c r="W228" s="347" t="s">
        <v>75</v>
      </c>
      <c r="X228" s="347">
        <f t="shared" si="3"/>
        <v>10</v>
      </c>
    </row>
    <row r="229" spans="1:24" ht="231" customHeight="1" x14ac:dyDescent="0.2">
      <c r="A229" s="226" t="s">
        <v>680</v>
      </c>
      <c r="B229" s="347" t="s">
        <v>689</v>
      </c>
      <c r="C229" s="347">
        <v>0</v>
      </c>
      <c r="D229" s="347">
        <v>0</v>
      </c>
      <c r="E229" s="347">
        <v>0</v>
      </c>
      <c r="F229" s="347">
        <v>0</v>
      </c>
      <c r="G229" s="347">
        <v>0</v>
      </c>
      <c r="H229" s="347">
        <v>1</v>
      </c>
      <c r="I229" s="347">
        <v>0</v>
      </c>
      <c r="J229" s="347">
        <v>0</v>
      </c>
      <c r="K229" s="347"/>
      <c r="L229" s="347" t="s">
        <v>148</v>
      </c>
      <c r="M229" s="347" t="s">
        <v>1011</v>
      </c>
      <c r="N229" s="347" t="s">
        <v>1414</v>
      </c>
      <c r="O229" s="347" t="s">
        <v>1011</v>
      </c>
      <c r="P229" s="347" t="s">
        <v>1011</v>
      </c>
      <c r="Q229" s="347" t="s">
        <v>690</v>
      </c>
      <c r="R229" s="347"/>
      <c r="S229" s="347" t="s">
        <v>1451</v>
      </c>
      <c r="T229" s="347" t="s">
        <v>1416</v>
      </c>
      <c r="U229" s="347" t="s">
        <v>149</v>
      </c>
      <c r="V229" s="347" t="s">
        <v>1011</v>
      </c>
      <c r="W229" s="347" t="s">
        <v>75</v>
      </c>
      <c r="X229" s="347">
        <f t="shared" si="3"/>
        <v>10</v>
      </c>
    </row>
    <row r="230" spans="1:24" ht="213.75" x14ac:dyDescent="0.2">
      <c r="A230" s="226" t="s">
        <v>684</v>
      </c>
      <c r="B230" s="347" t="s">
        <v>692</v>
      </c>
      <c r="C230" s="347">
        <v>0</v>
      </c>
      <c r="D230" s="347">
        <v>0</v>
      </c>
      <c r="E230" s="347">
        <v>0</v>
      </c>
      <c r="F230" s="347">
        <v>0</v>
      </c>
      <c r="G230" s="347">
        <v>0</v>
      </c>
      <c r="H230" s="347">
        <v>1</v>
      </c>
      <c r="I230" s="347">
        <v>0</v>
      </c>
      <c r="J230" s="347">
        <v>0</v>
      </c>
      <c r="K230" s="347"/>
      <c r="L230" s="347" t="s">
        <v>148</v>
      </c>
      <c r="M230" s="347" t="s">
        <v>1011</v>
      </c>
      <c r="N230" s="347" t="s">
        <v>1414</v>
      </c>
      <c r="O230" s="347" t="s">
        <v>1011</v>
      </c>
      <c r="P230" s="347" t="s">
        <v>693</v>
      </c>
      <c r="Q230" s="347" t="s">
        <v>694</v>
      </c>
      <c r="R230" s="347"/>
      <c r="S230" s="347" t="s">
        <v>1232</v>
      </c>
      <c r="T230" s="347" t="s">
        <v>1417</v>
      </c>
      <c r="U230" s="347" t="s">
        <v>40</v>
      </c>
      <c r="V230" s="347" t="s">
        <v>1011</v>
      </c>
      <c r="W230" s="347" t="s">
        <v>75</v>
      </c>
      <c r="X230" s="347">
        <f t="shared" si="3"/>
        <v>10</v>
      </c>
    </row>
    <row r="231" spans="1:24" ht="228.75" customHeight="1" x14ac:dyDescent="0.2">
      <c r="A231" s="226" t="s">
        <v>688</v>
      </c>
      <c r="B231" s="347" t="s">
        <v>696</v>
      </c>
      <c r="C231" s="347">
        <v>0</v>
      </c>
      <c r="D231" s="347">
        <v>0</v>
      </c>
      <c r="E231" s="347">
        <v>0</v>
      </c>
      <c r="F231" s="347">
        <v>0</v>
      </c>
      <c r="G231" s="347">
        <v>0</v>
      </c>
      <c r="H231" s="347">
        <v>1</v>
      </c>
      <c r="I231" s="347">
        <v>0</v>
      </c>
      <c r="J231" s="347">
        <v>0</v>
      </c>
      <c r="K231" s="347"/>
      <c r="L231" s="347" t="s">
        <v>148</v>
      </c>
      <c r="M231" s="347" t="s">
        <v>1011</v>
      </c>
      <c r="N231" s="347" t="s">
        <v>1414</v>
      </c>
      <c r="O231" s="347" t="s">
        <v>1011</v>
      </c>
      <c r="P231" s="347" t="s">
        <v>1011</v>
      </c>
      <c r="Q231" s="347" t="s">
        <v>690</v>
      </c>
      <c r="R231" s="347"/>
      <c r="S231" s="347" t="s">
        <v>1452</v>
      </c>
      <c r="T231" s="347" t="s">
        <v>1416</v>
      </c>
      <c r="U231" s="347" t="s">
        <v>149</v>
      </c>
      <c r="V231" s="347" t="s">
        <v>1011</v>
      </c>
      <c r="W231" s="347" t="s">
        <v>75</v>
      </c>
      <c r="X231" s="347">
        <f t="shared" si="3"/>
        <v>10</v>
      </c>
    </row>
    <row r="232" spans="1:24" ht="214.5" customHeight="1" x14ac:dyDescent="0.2">
      <c r="A232" s="226" t="s">
        <v>691</v>
      </c>
      <c r="B232" s="347" t="s">
        <v>1588</v>
      </c>
      <c r="C232" s="347">
        <v>0</v>
      </c>
      <c r="D232" s="347">
        <v>0</v>
      </c>
      <c r="E232" s="347">
        <v>0</v>
      </c>
      <c r="F232" s="347">
        <v>0</v>
      </c>
      <c r="G232" s="347">
        <v>0</v>
      </c>
      <c r="H232" s="347">
        <v>1</v>
      </c>
      <c r="I232" s="347">
        <v>0</v>
      </c>
      <c r="J232" s="347">
        <v>0</v>
      </c>
      <c r="K232" s="347"/>
      <c r="L232" s="347" t="s">
        <v>148</v>
      </c>
      <c r="M232" s="347" t="s">
        <v>1011</v>
      </c>
      <c r="N232" s="347" t="s">
        <v>1414</v>
      </c>
      <c r="O232" s="347" t="s">
        <v>1011</v>
      </c>
      <c r="P232" s="347" t="s">
        <v>1011</v>
      </c>
      <c r="Q232" s="347" t="s">
        <v>698</v>
      </c>
      <c r="R232" s="347" t="s">
        <v>1586</v>
      </c>
      <c r="S232" s="347" t="s">
        <v>699</v>
      </c>
      <c r="T232" s="347" t="s">
        <v>1418</v>
      </c>
      <c r="U232" s="347" t="s">
        <v>40</v>
      </c>
      <c r="V232" s="347" t="s">
        <v>1011</v>
      </c>
      <c r="W232" s="347" t="s">
        <v>75</v>
      </c>
      <c r="X232" s="347">
        <f t="shared" si="3"/>
        <v>10</v>
      </c>
    </row>
    <row r="233" spans="1:24" ht="90" customHeight="1" x14ac:dyDescent="0.2">
      <c r="A233" s="226" t="s">
        <v>695</v>
      </c>
      <c r="B233" s="347" t="s">
        <v>1159</v>
      </c>
      <c r="C233" s="347">
        <v>0</v>
      </c>
      <c r="D233" s="347">
        <v>0</v>
      </c>
      <c r="E233" s="347">
        <v>0</v>
      </c>
      <c r="F233" s="347">
        <v>0</v>
      </c>
      <c r="G233" s="347">
        <v>0</v>
      </c>
      <c r="H233" s="347">
        <v>1</v>
      </c>
      <c r="I233" s="347">
        <v>0</v>
      </c>
      <c r="J233" s="347">
        <v>0</v>
      </c>
      <c r="K233" s="347"/>
      <c r="L233" s="347" t="s">
        <v>148</v>
      </c>
      <c r="M233" s="347" t="s">
        <v>1011</v>
      </c>
      <c r="N233" s="347" t="s">
        <v>1414</v>
      </c>
      <c r="O233" s="347" t="s">
        <v>1011</v>
      </c>
      <c r="P233" s="347" t="s">
        <v>410</v>
      </c>
      <c r="Q233" s="347" t="s">
        <v>411</v>
      </c>
      <c r="R233" s="347"/>
      <c r="S233" s="347" t="s">
        <v>1487</v>
      </c>
      <c r="T233" s="347" t="s">
        <v>412</v>
      </c>
      <c r="U233" s="347" t="s">
        <v>40</v>
      </c>
      <c r="V233" s="347" t="s">
        <v>1011</v>
      </c>
      <c r="W233" s="347" t="s">
        <v>75</v>
      </c>
      <c r="X233" s="347">
        <f t="shared" si="3"/>
        <v>10</v>
      </c>
    </row>
    <row r="234" spans="1:24" ht="142.5" x14ac:dyDescent="0.2">
      <c r="A234" s="226" t="s">
        <v>697</v>
      </c>
      <c r="B234" s="347" t="s">
        <v>702</v>
      </c>
      <c r="C234" s="347">
        <v>0</v>
      </c>
      <c r="D234" s="347">
        <v>0</v>
      </c>
      <c r="E234" s="347">
        <v>0</v>
      </c>
      <c r="F234" s="347">
        <v>0</v>
      </c>
      <c r="G234" s="347">
        <v>0</v>
      </c>
      <c r="H234" s="347">
        <v>1</v>
      </c>
      <c r="I234" s="347">
        <v>0</v>
      </c>
      <c r="J234" s="347">
        <v>0</v>
      </c>
      <c r="K234" s="347"/>
      <c r="L234" s="347" t="s">
        <v>148</v>
      </c>
      <c r="M234" s="347" t="s">
        <v>1011</v>
      </c>
      <c r="N234" s="347" t="s">
        <v>1414</v>
      </c>
      <c r="O234" s="347" t="s">
        <v>1011</v>
      </c>
      <c r="P234" s="347" t="s">
        <v>703</v>
      </c>
      <c r="Q234" s="347" t="s">
        <v>704</v>
      </c>
      <c r="R234" s="347"/>
      <c r="S234" s="347" t="s">
        <v>1419</v>
      </c>
      <c r="T234" s="347" t="s">
        <v>705</v>
      </c>
      <c r="U234" s="347" t="s">
        <v>40</v>
      </c>
      <c r="V234" s="347" t="s">
        <v>1011</v>
      </c>
      <c r="W234" s="347" t="s">
        <v>75</v>
      </c>
      <c r="X234" s="347">
        <f t="shared" si="3"/>
        <v>10</v>
      </c>
    </row>
    <row r="235" spans="1:24" ht="128.25" x14ac:dyDescent="0.2">
      <c r="A235" s="226" t="s">
        <v>700</v>
      </c>
      <c r="B235" s="347" t="s">
        <v>707</v>
      </c>
      <c r="C235" s="347">
        <v>0</v>
      </c>
      <c r="D235" s="347">
        <v>0</v>
      </c>
      <c r="E235" s="347">
        <v>0</v>
      </c>
      <c r="F235" s="347">
        <v>0</v>
      </c>
      <c r="G235" s="347">
        <v>0</v>
      </c>
      <c r="H235" s="347">
        <v>1</v>
      </c>
      <c r="I235" s="347">
        <v>0</v>
      </c>
      <c r="J235" s="347">
        <v>0</v>
      </c>
      <c r="K235" s="347"/>
      <c r="L235" s="347" t="s">
        <v>1040</v>
      </c>
      <c r="M235" s="347" t="s">
        <v>1011</v>
      </c>
      <c r="N235" s="347" t="s">
        <v>1414</v>
      </c>
      <c r="O235" s="347" t="s">
        <v>708</v>
      </c>
      <c r="P235" s="347" t="s">
        <v>708</v>
      </c>
      <c r="Q235" s="347" t="s">
        <v>708</v>
      </c>
      <c r="R235" s="347"/>
      <c r="S235" s="347" t="s">
        <v>1420</v>
      </c>
      <c r="T235" s="347" t="s">
        <v>709</v>
      </c>
      <c r="U235" s="347" t="s">
        <v>1040</v>
      </c>
      <c r="V235" s="347" t="s">
        <v>1011</v>
      </c>
      <c r="W235" s="347"/>
      <c r="X235" s="347"/>
    </row>
    <row r="236" spans="1:24" ht="171" x14ac:dyDescent="0.2">
      <c r="A236" s="226" t="s">
        <v>701</v>
      </c>
      <c r="B236" s="347" t="s">
        <v>1266</v>
      </c>
      <c r="C236" s="347">
        <v>0</v>
      </c>
      <c r="D236" s="347">
        <v>0</v>
      </c>
      <c r="E236" s="347">
        <v>0</v>
      </c>
      <c r="F236" s="347">
        <v>0</v>
      </c>
      <c r="G236" s="347">
        <v>0</v>
      </c>
      <c r="H236" s="347">
        <v>1</v>
      </c>
      <c r="I236" s="347">
        <v>0</v>
      </c>
      <c r="J236" s="347">
        <v>0</v>
      </c>
      <c r="K236" s="347"/>
      <c r="L236" s="347" t="s">
        <v>1040</v>
      </c>
      <c r="M236" s="347" t="s">
        <v>1011</v>
      </c>
      <c r="N236" s="347" t="s">
        <v>1414</v>
      </c>
      <c r="O236" s="347" t="s">
        <v>679</v>
      </c>
      <c r="P236" s="347" t="s">
        <v>679</v>
      </c>
      <c r="Q236" s="347" t="s">
        <v>679</v>
      </c>
      <c r="R236" s="347"/>
      <c r="S236" s="347" t="s">
        <v>1421</v>
      </c>
      <c r="T236" s="347" t="s">
        <v>1422</v>
      </c>
      <c r="U236" s="347" t="s">
        <v>1040</v>
      </c>
      <c r="V236" s="347" t="s">
        <v>1011</v>
      </c>
      <c r="W236" s="347"/>
      <c r="X236" s="347"/>
    </row>
    <row r="237" spans="1:24" ht="199.5" x14ac:dyDescent="0.2">
      <c r="A237" s="226" t="s">
        <v>706</v>
      </c>
      <c r="B237" s="347" t="s">
        <v>681</v>
      </c>
      <c r="C237" s="347">
        <v>0</v>
      </c>
      <c r="D237" s="347">
        <v>0</v>
      </c>
      <c r="E237" s="347">
        <v>0</v>
      </c>
      <c r="F237" s="347">
        <v>0</v>
      </c>
      <c r="G237" s="347">
        <v>0</v>
      </c>
      <c r="H237" s="347">
        <v>1</v>
      </c>
      <c r="I237" s="347">
        <v>0</v>
      </c>
      <c r="J237" s="347">
        <v>0</v>
      </c>
      <c r="K237" s="347"/>
      <c r="L237" s="347" t="s">
        <v>148</v>
      </c>
      <c r="M237" s="347" t="s">
        <v>1011</v>
      </c>
      <c r="N237" s="347" t="s">
        <v>1414</v>
      </c>
      <c r="O237" s="347" t="s">
        <v>1011</v>
      </c>
      <c r="P237" s="347" t="s">
        <v>682</v>
      </c>
      <c r="Q237" s="347" t="s">
        <v>683</v>
      </c>
      <c r="R237" s="347"/>
      <c r="S237" s="347" t="s">
        <v>1423</v>
      </c>
      <c r="T237" s="347" t="s">
        <v>1260</v>
      </c>
      <c r="U237" s="347" t="s">
        <v>40</v>
      </c>
      <c r="V237" s="347" t="s">
        <v>1011</v>
      </c>
      <c r="W237" s="347" t="s">
        <v>41</v>
      </c>
      <c r="X237" s="347">
        <f t="shared" si="3"/>
        <v>5</v>
      </c>
    </row>
    <row r="238" spans="1:24" ht="99.75" x14ac:dyDescent="0.2">
      <c r="A238" s="348" t="s">
        <v>892</v>
      </c>
      <c r="B238" s="348" t="s">
        <v>1233</v>
      </c>
      <c r="C238" s="349">
        <v>0</v>
      </c>
      <c r="D238" s="349">
        <v>0</v>
      </c>
      <c r="E238" s="349">
        <v>0</v>
      </c>
      <c r="F238" s="349">
        <v>0</v>
      </c>
      <c r="G238" s="349">
        <v>0</v>
      </c>
      <c r="H238" s="349">
        <v>0</v>
      </c>
      <c r="I238" s="349">
        <v>0</v>
      </c>
      <c r="J238" s="349">
        <v>1</v>
      </c>
      <c r="K238" s="348" t="s">
        <v>22</v>
      </c>
      <c r="L238" s="348" t="s">
        <v>1040</v>
      </c>
      <c r="M238" s="350"/>
      <c r="N238" s="350"/>
      <c r="O238" s="348" t="s">
        <v>1604</v>
      </c>
      <c r="P238" s="348" t="s">
        <v>1604</v>
      </c>
      <c r="Q238" s="348" t="s">
        <v>1605</v>
      </c>
      <c r="R238" s="350"/>
      <c r="S238" s="348" t="s">
        <v>1606</v>
      </c>
      <c r="T238" s="348" t="s">
        <v>1607</v>
      </c>
      <c r="U238" s="350"/>
      <c r="V238" s="350"/>
      <c r="W238" s="350"/>
      <c r="X238" s="349">
        <v>10</v>
      </c>
    </row>
    <row r="239" spans="1:24" ht="171" x14ac:dyDescent="0.2">
      <c r="A239" s="348" t="s">
        <v>893</v>
      </c>
      <c r="B239" s="348" t="s">
        <v>1234</v>
      </c>
      <c r="C239" s="349">
        <v>0</v>
      </c>
      <c r="D239" s="349">
        <v>0</v>
      </c>
      <c r="E239" s="349">
        <v>0</v>
      </c>
      <c r="F239" s="349">
        <v>0</v>
      </c>
      <c r="G239" s="349">
        <v>0</v>
      </c>
      <c r="H239" s="349">
        <v>0</v>
      </c>
      <c r="I239" s="349">
        <v>0</v>
      </c>
      <c r="J239" s="349">
        <v>1</v>
      </c>
      <c r="K239" s="348" t="s">
        <v>22</v>
      </c>
      <c r="L239" s="348" t="s">
        <v>1040</v>
      </c>
      <c r="M239" s="350"/>
      <c r="N239" s="350"/>
      <c r="O239" s="348" t="s">
        <v>1608</v>
      </c>
      <c r="P239" s="348" t="s">
        <v>1608</v>
      </c>
      <c r="Q239" s="348" t="s">
        <v>1609</v>
      </c>
      <c r="R239" s="350"/>
      <c r="S239" s="348" t="s">
        <v>1606</v>
      </c>
      <c r="T239" s="350"/>
      <c r="U239" s="350"/>
      <c r="V239" s="350"/>
      <c r="W239" s="350"/>
      <c r="X239" s="349">
        <v>10</v>
      </c>
    </row>
    <row r="240" spans="1:24" ht="71.25" x14ac:dyDescent="0.2">
      <c r="A240" s="348" t="s">
        <v>894</v>
      </c>
      <c r="B240" s="348" t="s">
        <v>1235</v>
      </c>
      <c r="C240" s="349">
        <v>0</v>
      </c>
      <c r="D240" s="349">
        <v>0</v>
      </c>
      <c r="E240" s="349">
        <v>0</v>
      </c>
      <c r="F240" s="349">
        <v>0</v>
      </c>
      <c r="G240" s="349">
        <v>0</v>
      </c>
      <c r="H240" s="349">
        <v>0</v>
      </c>
      <c r="I240" s="349">
        <v>0</v>
      </c>
      <c r="J240" s="349">
        <v>1</v>
      </c>
      <c r="K240" s="348" t="s">
        <v>22</v>
      </c>
      <c r="L240" s="348" t="s">
        <v>1040</v>
      </c>
      <c r="M240" s="350"/>
      <c r="N240" s="350"/>
      <c r="O240" s="350"/>
      <c r="P240" s="350"/>
      <c r="Q240" s="348" t="s">
        <v>1610</v>
      </c>
      <c r="R240" s="350"/>
      <c r="S240" s="348" t="s">
        <v>1606</v>
      </c>
      <c r="T240" s="350"/>
      <c r="U240" s="350"/>
      <c r="V240" s="350"/>
      <c r="W240" s="350"/>
      <c r="X240" s="349">
        <v>10</v>
      </c>
    </row>
    <row r="241" spans="1:24" ht="85.5" x14ac:dyDescent="0.2">
      <c r="A241" s="348" t="s">
        <v>895</v>
      </c>
      <c r="B241" s="348" t="s">
        <v>1236</v>
      </c>
      <c r="C241" s="349">
        <v>0</v>
      </c>
      <c r="D241" s="349">
        <v>0</v>
      </c>
      <c r="E241" s="349">
        <v>0</v>
      </c>
      <c r="F241" s="349">
        <v>0</v>
      </c>
      <c r="G241" s="349">
        <v>0</v>
      </c>
      <c r="H241" s="349">
        <v>0</v>
      </c>
      <c r="I241" s="349">
        <v>0</v>
      </c>
      <c r="J241" s="349">
        <v>1</v>
      </c>
      <c r="K241" s="348" t="s">
        <v>22</v>
      </c>
      <c r="L241" s="348" t="s">
        <v>1040</v>
      </c>
      <c r="M241" s="350"/>
      <c r="N241" s="350"/>
      <c r="O241" s="350"/>
      <c r="P241" s="350"/>
      <c r="Q241" s="348" t="s">
        <v>1611</v>
      </c>
      <c r="R241" s="350"/>
      <c r="S241" s="348" t="s">
        <v>1606</v>
      </c>
      <c r="T241" s="350"/>
      <c r="U241" s="350"/>
      <c r="V241" s="350"/>
      <c r="W241" s="350"/>
      <c r="X241" s="349">
        <v>10</v>
      </c>
    </row>
    <row r="242" spans="1:24" ht="85.5" x14ac:dyDescent="0.2">
      <c r="A242" s="348" t="s">
        <v>896</v>
      </c>
      <c r="B242" s="348" t="s">
        <v>710</v>
      </c>
      <c r="C242" s="349">
        <v>0</v>
      </c>
      <c r="D242" s="349">
        <v>0</v>
      </c>
      <c r="E242" s="349">
        <v>0</v>
      </c>
      <c r="F242" s="349">
        <v>0</v>
      </c>
      <c r="G242" s="349">
        <v>0</v>
      </c>
      <c r="H242" s="349">
        <v>0</v>
      </c>
      <c r="I242" s="349">
        <v>0</v>
      </c>
      <c r="J242" s="349">
        <v>1</v>
      </c>
      <c r="K242" s="348" t="s">
        <v>37</v>
      </c>
      <c r="L242" s="348" t="s">
        <v>9</v>
      </c>
      <c r="M242" s="350"/>
      <c r="N242" s="350"/>
      <c r="O242" s="348" t="s">
        <v>1612</v>
      </c>
      <c r="P242" s="348" t="s">
        <v>1612</v>
      </c>
      <c r="Q242" s="348" t="s">
        <v>1612</v>
      </c>
      <c r="R242" s="350"/>
      <c r="S242" s="350"/>
      <c r="T242" s="350"/>
      <c r="U242" s="351" t="s">
        <v>1040</v>
      </c>
      <c r="V242" s="350"/>
      <c r="W242" s="348"/>
      <c r="X242" s="349"/>
    </row>
    <row r="243" spans="1:24" ht="99.75" x14ac:dyDescent="0.2">
      <c r="A243" s="348" t="s">
        <v>711</v>
      </c>
      <c r="B243" s="348" t="s">
        <v>1160</v>
      </c>
      <c r="C243" s="349">
        <v>0</v>
      </c>
      <c r="D243" s="349">
        <v>0</v>
      </c>
      <c r="E243" s="349">
        <v>0</v>
      </c>
      <c r="F243" s="349">
        <v>0</v>
      </c>
      <c r="G243" s="349">
        <v>0</v>
      </c>
      <c r="H243" s="349">
        <v>0</v>
      </c>
      <c r="I243" s="349">
        <v>0</v>
      </c>
      <c r="J243" s="349">
        <v>1</v>
      </c>
      <c r="K243" s="350"/>
      <c r="L243" s="348" t="s">
        <v>9</v>
      </c>
      <c r="M243" s="350"/>
      <c r="N243" s="350"/>
      <c r="O243" s="350"/>
      <c r="P243" s="350"/>
      <c r="Q243" s="348" t="s">
        <v>1613</v>
      </c>
      <c r="R243" s="350"/>
      <c r="S243" s="348" t="s">
        <v>1614</v>
      </c>
      <c r="T243" s="350"/>
      <c r="U243" s="348" t="s">
        <v>149</v>
      </c>
      <c r="V243" s="350"/>
      <c r="W243" s="348" t="s">
        <v>46</v>
      </c>
      <c r="X243" s="349">
        <v>20</v>
      </c>
    </row>
    <row r="244" spans="1:24" ht="15.75" customHeight="1" x14ac:dyDescent="0.2">
      <c r="A244" s="348" t="s">
        <v>713</v>
      </c>
      <c r="B244" s="348" t="s">
        <v>1054</v>
      </c>
      <c r="C244" s="349">
        <v>0</v>
      </c>
      <c r="D244" s="349">
        <v>0</v>
      </c>
      <c r="E244" s="349">
        <v>0</v>
      </c>
      <c r="F244" s="349">
        <v>0</v>
      </c>
      <c r="G244" s="349">
        <v>0</v>
      </c>
      <c r="H244" s="349">
        <v>0</v>
      </c>
      <c r="I244" s="349">
        <v>0</v>
      </c>
      <c r="J244" s="349">
        <v>1</v>
      </c>
      <c r="K244" s="348" t="s">
        <v>37</v>
      </c>
      <c r="L244" s="348" t="s">
        <v>9</v>
      </c>
      <c r="M244" s="350"/>
      <c r="N244" s="350"/>
      <c r="O244" s="348" t="s">
        <v>1615</v>
      </c>
      <c r="P244" s="348" t="s">
        <v>1615</v>
      </c>
      <c r="Q244" s="348" t="s">
        <v>1615</v>
      </c>
      <c r="R244" s="350"/>
      <c r="S244" s="350"/>
      <c r="T244" s="350"/>
      <c r="U244" s="351" t="s">
        <v>1040</v>
      </c>
      <c r="V244" s="350"/>
      <c r="W244" s="348"/>
      <c r="X244" s="349"/>
    </row>
    <row r="245" spans="1:24" ht="85.5" x14ac:dyDescent="0.2">
      <c r="A245" s="348" t="s">
        <v>714</v>
      </c>
      <c r="B245" s="348" t="s">
        <v>1616</v>
      </c>
      <c r="C245" s="349">
        <v>0</v>
      </c>
      <c r="D245" s="349">
        <v>0</v>
      </c>
      <c r="E245" s="349">
        <v>0</v>
      </c>
      <c r="F245" s="349">
        <v>0</v>
      </c>
      <c r="G245" s="349">
        <v>0</v>
      </c>
      <c r="H245" s="349">
        <v>0</v>
      </c>
      <c r="I245" s="349">
        <v>0</v>
      </c>
      <c r="J245" s="349">
        <v>1</v>
      </c>
      <c r="K245" s="350"/>
      <c r="L245" s="348" t="s">
        <v>9</v>
      </c>
      <c r="M245" s="350"/>
      <c r="N245" s="350"/>
      <c r="O245" s="350"/>
      <c r="P245" s="350"/>
      <c r="Q245" s="348" t="s">
        <v>1617</v>
      </c>
      <c r="R245" s="350"/>
      <c r="S245" s="348" t="s">
        <v>1618</v>
      </c>
      <c r="T245" s="350"/>
      <c r="U245" s="348" t="s">
        <v>149</v>
      </c>
      <c r="V245" s="350"/>
      <c r="W245" s="348" t="s">
        <v>41</v>
      </c>
      <c r="X245" s="349">
        <v>5</v>
      </c>
    </row>
    <row r="246" spans="1:24" ht="85.5" x14ac:dyDescent="0.2">
      <c r="A246" s="348" t="s">
        <v>715</v>
      </c>
      <c r="B246" s="348" t="s">
        <v>712</v>
      </c>
      <c r="C246" s="349">
        <v>0</v>
      </c>
      <c r="D246" s="349">
        <v>0</v>
      </c>
      <c r="E246" s="349">
        <v>0</v>
      </c>
      <c r="F246" s="349">
        <v>0</v>
      </c>
      <c r="G246" s="349">
        <v>0</v>
      </c>
      <c r="H246" s="349">
        <v>0</v>
      </c>
      <c r="I246" s="349">
        <v>0</v>
      </c>
      <c r="J246" s="349">
        <v>1</v>
      </c>
      <c r="K246" s="350"/>
      <c r="L246" s="348" t="s">
        <v>9</v>
      </c>
      <c r="M246" s="350"/>
      <c r="N246" s="350"/>
      <c r="O246" s="348" t="s">
        <v>1619</v>
      </c>
      <c r="P246" s="348" t="s">
        <v>1620</v>
      </c>
      <c r="Q246" s="348" t="s">
        <v>1621</v>
      </c>
      <c r="R246" s="350"/>
      <c r="S246" s="348" t="s">
        <v>1622</v>
      </c>
      <c r="T246" s="350"/>
      <c r="U246" s="348" t="s">
        <v>40</v>
      </c>
      <c r="V246" s="350"/>
      <c r="W246" s="348" t="s">
        <v>41</v>
      </c>
      <c r="X246" s="349">
        <v>5</v>
      </c>
    </row>
    <row r="247" spans="1:24" ht="256.5" x14ac:dyDescent="0.2">
      <c r="A247" s="348" t="s">
        <v>716</v>
      </c>
      <c r="B247" s="348" t="s">
        <v>1055</v>
      </c>
      <c r="C247" s="349">
        <v>0</v>
      </c>
      <c r="D247" s="349">
        <v>0</v>
      </c>
      <c r="E247" s="349">
        <v>0</v>
      </c>
      <c r="F247" s="349">
        <v>0</v>
      </c>
      <c r="G247" s="349">
        <v>0</v>
      </c>
      <c r="H247" s="349">
        <v>0</v>
      </c>
      <c r="I247" s="349">
        <v>0</v>
      </c>
      <c r="J247" s="349">
        <v>1</v>
      </c>
      <c r="K247" s="348" t="s">
        <v>37</v>
      </c>
      <c r="L247" s="348" t="s">
        <v>1040</v>
      </c>
      <c r="M247" s="350"/>
      <c r="N247" s="350"/>
      <c r="O247" s="348" t="s">
        <v>1623</v>
      </c>
      <c r="P247" s="348" t="s">
        <v>1624</v>
      </c>
      <c r="Q247" s="348" t="s">
        <v>1625</v>
      </c>
      <c r="R247" s="348" t="s">
        <v>1626</v>
      </c>
      <c r="S247" s="348" t="s">
        <v>1627</v>
      </c>
      <c r="T247" s="350"/>
      <c r="U247" s="348" t="s">
        <v>40</v>
      </c>
      <c r="V247" s="350"/>
      <c r="W247" s="350"/>
      <c r="X247" s="349">
        <v>10</v>
      </c>
    </row>
    <row r="248" spans="1:24" ht="171" x14ac:dyDescent="0.2">
      <c r="A248" s="348" t="s">
        <v>717</v>
      </c>
      <c r="B248" s="348" t="s">
        <v>1009</v>
      </c>
      <c r="C248" s="349">
        <v>0</v>
      </c>
      <c r="D248" s="349">
        <v>0</v>
      </c>
      <c r="E248" s="349">
        <v>0</v>
      </c>
      <c r="F248" s="349">
        <v>0</v>
      </c>
      <c r="G248" s="349">
        <v>0</v>
      </c>
      <c r="H248" s="349">
        <v>0</v>
      </c>
      <c r="I248" s="349">
        <v>0</v>
      </c>
      <c r="J248" s="349">
        <v>1</v>
      </c>
      <c r="K248" s="348" t="s">
        <v>37</v>
      </c>
      <c r="L248" s="348" t="s">
        <v>1040</v>
      </c>
      <c r="M248" s="350"/>
      <c r="N248" s="350"/>
      <c r="O248" s="348" t="s">
        <v>1628</v>
      </c>
      <c r="P248" s="348" t="s">
        <v>1629</v>
      </c>
      <c r="Q248" s="348" t="s">
        <v>1630</v>
      </c>
      <c r="R248" s="348" t="s">
        <v>1626</v>
      </c>
      <c r="S248" s="348" t="s">
        <v>1631</v>
      </c>
      <c r="T248" s="348" t="s">
        <v>1632</v>
      </c>
      <c r="U248" s="348" t="s">
        <v>40</v>
      </c>
      <c r="V248" s="350"/>
      <c r="W248" s="350"/>
      <c r="X248" s="349">
        <v>10</v>
      </c>
    </row>
    <row r="249" spans="1:24" ht="270.75" x14ac:dyDescent="0.2">
      <c r="A249" s="348" t="s">
        <v>718</v>
      </c>
      <c r="B249" s="348" t="s">
        <v>719</v>
      </c>
      <c r="C249" s="349">
        <v>0</v>
      </c>
      <c r="D249" s="349">
        <v>0</v>
      </c>
      <c r="E249" s="349">
        <v>0</v>
      </c>
      <c r="F249" s="349">
        <v>0</v>
      </c>
      <c r="G249" s="349">
        <v>0</v>
      </c>
      <c r="H249" s="349">
        <v>0</v>
      </c>
      <c r="I249" s="349">
        <v>0</v>
      </c>
      <c r="J249" s="349">
        <v>1</v>
      </c>
      <c r="K249" s="350"/>
      <c r="L249" s="348" t="s">
        <v>9</v>
      </c>
      <c r="M249" s="350"/>
      <c r="N249" s="350"/>
      <c r="O249" s="350"/>
      <c r="P249" s="348" t="s">
        <v>1633</v>
      </c>
      <c r="Q249" s="348" t="s">
        <v>1634</v>
      </c>
      <c r="R249" s="348" t="s">
        <v>1626</v>
      </c>
      <c r="S249" s="348" t="s">
        <v>1635</v>
      </c>
      <c r="T249" s="348" t="s">
        <v>1636</v>
      </c>
      <c r="U249" s="348" t="s">
        <v>40</v>
      </c>
      <c r="V249" s="350"/>
      <c r="W249" s="348" t="s">
        <v>75</v>
      </c>
      <c r="X249" s="349">
        <v>10</v>
      </c>
    </row>
    <row r="250" spans="1:24" ht="156.75" x14ac:dyDescent="0.2">
      <c r="A250" s="348" t="s">
        <v>720</v>
      </c>
      <c r="B250" s="348" t="s">
        <v>1488</v>
      </c>
      <c r="C250" s="349">
        <v>0</v>
      </c>
      <c r="D250" s="349">
        <v>0</v>
      </c>
      <c r="E250" s="349">
        <v>0</v>
      </c>
      <c r="F250" s="349">
        <v>0</v>
      </c>
      <c r="G250" s="349">
        <v>0</v>
      </c>
      <c r="H250" s="349">
        <v>0</v>
      </c>
      <c r="I250" s="349">
        <v>0</v>
      </c>
      <c r="J250" s="349">
        <v>1</v>
      </c>
      <c r="K250" s="350"/>
      <c r="L250" s="348" t="s">
        <v>9</v>
      </c>
      <c r="M250" s="350"/>
      <c r="N250" s="350"/>
      <c r="O250" s="348" t="s">
        <v>1637</v>
      </c>
      <c r="P250" s="348" t="s">
        <v>1638</v>
      </c>
      <c r="Q250" s="348" t="s">
        <v>1639</v>
      </c>
      <c r="R250" s="348" t="s">
        <v>1626</v>
      </c>
      <c r="S250" s="348" t="s">
        <v>1640</v>
      </c>
      <c r="T250" s="350"/>
      <c r="U250" s="348" t="s">
        <v>40</v>
      </c>
      <c r="V250" s="350"/>
      <c r="W250" s="348" t="s">
        <v>46</v>
      </c>
      <c r="X250" s="349">
        <v>20</v>
      </c>
    </row>
    <row r="251" spans="1:24" ht="327.75" x14ac:dyDescent="0.2">
      <c r="A251" s="348" t="s">
        <v>722</v>
      </c>
      <c r="B251" s="348" t="s">
        <v>1641</v>
      </c>
      <c r="C251" s="349">
        <v>0</v>
      </c>
      <c r="D251" s="349">
        <v>0</v>
      </c>
      <c r="E251" s="349">
        <v>0</v>
      </c>
      <c r="F251" s="349">
        <v>0</v>
      </c>
      <c r="G251" s="349">
        <v>0</v>
      </c>
      <c r="H251" s="349">
        <v>0</v>
      </c>
      <c r="I251" s="349">
        <v>0</v>
      </c>
      <c r="J251" s="349">
        <v>1</v>
      </c>
      <c r="K251" s="350"/>
      <c r="L251" s="348" t="s">
        <v>9</v>
      </c>
      <c r="M251" s="350"/>
      <c r="N251" s="350"/>
      <c r="O251" s="348" t="s">
        <v>1642</v>
      </c>
      <c r="P251" s="348" t="s">
        <v>1643</v>
      </c>
      <c r="Q251" s="348" t="s">
        <v>721</v>
      </c>
      <c r="R251" s="348" t="s">
        <v>1644</v>
      </c>
      <c r="S251" s="348" t="s">
        <v>1645</v>
      </c>
      <c r="T251" s="348" t="s">
        <v>1646</v>
      </c>
      <c r="U251" s="348" t="s">
        <v>40</v>
      </c>
      <c r="V251" s="350"/>
      <c r="W251" s="348" t="s">
        <v>41</v>
      </c>
      <c r="X251" s="349">
        <v>5</v>
      </c>
    </row>
    <row r="252" spans="1:24" ht="85.5" x14ac:dyDescent="0.2">
      <c r="A252" s="348" t="s">
        <v>723</v>
      </c>
      <c r="B252" s="348" t="s">
        <v>724</v>
      </c>
      <c r="C252" s="349">
        <v>0</v>
      </c>
      <c r="D252" s="349">
        <v>0</v>
      </c>
      <c r="E252" s="349">
        <v>0</v>
      </c>
      <c r="F252" s="349">
        <v>0</v>
      </c>
      <c r="G252" s="349">
        <v>0</v>
      </c>
      <c r="H252" s="349">
        <v>0</v>
      </c>
      <c r="I252" s="349">
        <v>0</v>
      </c>
      <c r="J252" s="349">
        <v>1</v>
      </c>
      <c r="K252" s="348" t="s">
        <v>37</v>
      </c>
      <c r="L252" s="348" t="s">
        <v>9</v>
      </c>
      <c r="M252" s="350"/>
      <c r="N252" s="350"/>
      <c r="O252" s="348" t="s">
        <v>1647</v>
      </c>
      <c r="P252" s="348" t="s">
        <v>440</v>
      </c>
      <c r="Q252" s="348" t="s">
        <v>1648</v>
      </c>
      <c r="R252" s="350"/>
      <c r="S252" s="348" t="s">
        <v>1649</v>
      </c>
      <c r="T252" s="348" t="s">
        <v>1650</v>
      </c>
      <c r="U252" s="348" t="s">
        <v>40</v>
      </c>
      <c r="V252" s="350"/>
      <c r="W252" s="350"/>
      <c r="X252" s="349">
        <v>10</v>
      </c>
    </row>
    <row r="253" spans="1:24" ht="71.25" x14ac:dyDescent="0.2">
      <c r="A253" s="348" t="s">
        <v>725</v>
      </c>
      <c r="B253" s="348" t="s">
        <v>726</v>
      </c>
      <c r="C253" s="349">
        <v>0</v>
      </c>
      <c r="D253" s="349">
        <v>0</v>
      </c>
      <c r="E253" s="349">
        <v>0</v>
      </c>
      <c r="F253" s="349">
        <v>0</v>
      </c>
      <c r="G253" s="349">
        <v>0</v>
      </c>
      <c r="H253" s="349">
        <v>0</v>
      </c>
      <c r="I253" s="349">
        <v>0</v>
      </c>
      <c r="J253" s="349">
        <v>1</v>
      </c>
      <c r="K253" s="350"/>
      <c r="L253" s="348" t="s">
        <v>9</v>
      </c>
      <c r="M253" s="350"/>
      <c r="N253" s="350"/>
      <c r="O253" s="348" t="s">
        <v>1651</v>
      </c>
      <c r="P253" s="348" t="s">
        <v>440</v>
      </c>
      <c r="Q253" s="348" t="s">
        <v>1652</v>
      </c>
      <c r="R253" s="350"/>
      <c r="S253" s="348" t="s">
        <v>1653</v>
      </c>
      <c r="T253" s="348" t="s">
        <v>1650</v>
      </c>
      <c r="U253" s="348" t="s">
        <v>40</v>
      </c>
      <c r="V253" s="350"/>
      <c r="W253" s="348" t="s">
        <v>41</v>
      </c>
      <c r="X253" s="349">
        <v>5</v>
      </c>
    </row>
    <row r="254" spans="1:24" ht="270.75" x14ac:dyDescent="0.2">
      <c r="A254" s="348" t="s">
        <v>727</v>
      </c>
      <c r="B254" s="348" t="s">
        <v>1531</v>
      </c>
      <c r="C254" s="349">
        <v>0</v>
      </c>
      <c r="D254" s="349">
        <v>0</v>
      </c>
      <c r="E254" s="349">
        <v>0</v>
      </c>
      <c r="F254" s="349">
        <v>0</v>
      </c>
      <c r="G254" s="349">
        <v>0</v>
      </c>
      <c r="H254" s="349">
        <v>0</v>
      </c>
      <c r="I254" s="349">
        <v>0</v>
      </c>
      <c r="J254" s="349">
        <v>1</v>
      </c>
      <c r="K254" s="348" t="s">
        <v>37</v>
      </c>
      <c r="L254" s="348" t="s">
        <v>9</v>
      </c>
      <c r="M254" s="350"/>
      <c r="N254" s="350"/>
      <c r="O254" s="352" t="s">
        <v>1654</v>
      </c>
      <c r="P254" s="352" t="s">
        <v>1654</v>
      </c>
      <c r="Q254" s="348" t="s">
        <v>1655</v>
      </c>
      <c r="R254" s="350"/>
      <c r="S254" s="348" t="s">
        <v>1656</v>
      </c>
      <c r="T254" s="348" t="s">
        <v>1657</v>
      </c>
      <c r="U254" s="348" t="s">
        <v>149</v>
      </c>
      <c r="V254" s="350"/>
      <c r="W254" s="348" t="s">
        <v>46</v>
      </c>
      <c r="X254" s="349">
        <v>20</v>
      </c>
    </row>
    <row r="255" spans="1:24" ht="327.75" x14ac:dyDescent="0.2">
      <c r="A255" s="348" t="s">
        <v>729</v>
      </c>
      <c r="B255" s="348" t="s">
        <v>1658</v>
      </c>
      <c r="C255" s="349">
        <v>0</v>
      </c>
      <c r="D255" s="349">
        <v>0</v>
      </c>
      <c r="E255" s="349">
        <v>0</v>
      </c>
      <c r="F255" s="349">
        <v>0</v>
      </c>
      <c r="G255" s="349">
        <v>0</v>
      </c>
      <c r="H255" s="349">
        <v>0</v>
      </c>
      <c r="I255" s="349">
        <v>0</v>
      </c>
      <c r="J255" s="349">
        <v>1</v>
      </c>
      <c r="K255" s="348" t="s">
        <v>37</v>
      </c>
      <c r="L255" s="348" t="s">
        <v>9</v>
      </c>
      <c r="M255" s="350"/>
      <c r="N255" s="350"/>
      <c r="O255" s="352" t="s">
        <v>1659</v>
      </c>
      <c r="P255" s="352" t="s">
        <v>1659</v>
      </c>
      <c r="Q255" s="348" t="s">
        <v>1660</v>
      </c>
      <c r="R255" s="350"/>
      <c r="S255" s="348" t="s">
        <v>1656</v>
      </c>
      <c r="T255" s="348" t="s">
        <v>1657</v>
      </c>
      <c r="U255" s="348" t="s">
        <v>149</v>
      </c>
      <c r="V255" s="350"/>
      <c r="W255" s="348" t="s">
        <v>46</v>
      </c>
      <c r="X255" s="349">
        <v>20</v>
      </c>
    </row>
    <row r="256" spans="1:24" ht="228" x14ac:dyDescent="0.2">
      <c r="A256" s="348" t="s">
        <v>731</v>
      </c>
      <c r="B256" s="348" t="s">
        <v>1056</v>
      </c>
      <c r="C256" s="349">
        <v>0</v>
      </c>
      <c r="D256" s="349">
        <v>0</v>
      </c>
      <c r="E256" s="349">
        <v>0</v>
      </c>
      <c r="F256" s="349">
        <v>0</v>
      </c>
      <c r="G256" s="349">
        <v>0</v>
      </c>
      <c r="H256" s="349">
        <v>0</v>
      </c>
      <c r="I256" s="349">
        <v>0</v>
      </c>
      <c r="J256" s="349">
        <v>1</v>
      </c>
      <c r="K256" s="348" t="s">
        <v>37</v>
      </c>
      <c r="L256" s="348" t="s">
        <v>9</v>
      </c>
      <c r="M256" s="350"/>
      <c r="N256" s="350"/>
      <c r="O256" s="352" t="s">
        <v>1661</v>
      </c>
      <c r="P256" s="352" t="s">
        <v>1661</v>
      </c>
      <c r="Q256" s="348" t="s">
        <v>1161</v>
      </c>
      <c r="R256" s="350"/>
      <c r="S256" s="350"/>
      <c r="T256" s="350"/>
      <c r="U256" s="348" t="s">
        <v>149</v>
      </c>
      <c r="V256" s="350"/>
      <c r="W256" s="348" t="s">
        <v>46</v>
      </c>
      <c r="X256" s="349">
        <v>20</v>
      </c>
    </row>
    <row r="257" spans="1:24" ht="171" x14ac:dyDescent="0.2">
      <c r="A257" s="348" t="s">
        <v>732</v>
      </c>
      <c r="B257" s="348" t="s">
        <v>1162</v>
      </c>
      <c r="C257" s="349">
        <v>0</v>
      </c>
      <c r="D257" s="349">
        <v>0</v>
      </c>
      <c r="E257" s="349">
        <v>0</v>
      </c>
      <c r="F257" s="349">
        <v>0</v>
      </c>
      <c r="G257" s="349">
        <v>0</v>
      </c>
      <c r="H257" s="349">
        <v>0</v>
      </c>
      <c r="I257" s="349">
        <v>0</v>
      </c>
      <c r="J257" s="349">
        <v>1</v>
      </c>
      <c r="K257" s="350"/>
      <c r="L257" s="348" t="s">
        <v>9</v>
      </c>
      <c r="M257" s="350"/>
      <c r="N257" s="350"/>
      <c r="O257" s="352" t="s">
        <v>1662</v>
      </c>
      <c r="P257" s="352" t="s">
        <v>1662</v>
      </c>
      <c r="Q257" s="352" t="s">
        <v>728</v>
      </c>
      <c r="R257" s="350"/>
      <c r="S257" s="350"/>
      <c r="T257" s="350"/>
      <c r="U257" s="348" t="s">
        <v>149</v>
      </c>
      <c r="V257" s="350"/>
      <c r="W257" s="348" t="s">
        <v>41</v>
      </c>
      <c r="X257" s="349">
        <v>5</v>
      </c>
    </row>
    <row r="258" spans="1:24" ht="128.25" x14ac:dyDescent="0.2">
      <c r="A258" s="348" t="s">
        <v>733</v>
      </c>
      <c r="B258" s="348" t="s">
        <v>1008</v>
      </c>
      <c r="C258" s="349">
        <v>0</v>
      </c>
      <c r="D258" s="349">
        <v>0</v>
      </c>
      <c r="E258" s="349">
        <v>0</v>
      </c>
      <c r="F258" s="349">
        <v>0</v>
      </c>
      <c r="G258" s="349">
        <v>0</v>
      </c>
      <c r="H258" s="349">
        <v>0</v>
      </c>
      <c r="I258" s="349">
        <v>0</v>
      </c>
      <c r="J258" s="349">
        <v>1</v>
      </c>
      <c r="K258" s="350"/>
      <c r="L258" s="348" t="s">
        <v>9</v>
      </c>
      <c r="M258" s="350"/>
      <c r="N258" s="350"/>
      <c r="O258" s="352" t="s">
        <v>1663</v>
      </c>
      <c r="P258" s="352" t="s">
        <v>1663</v>
      </c>
      <c r="Q258" s="348" t="s">
        <v>1664</v>
      </c>
      <c r="R258" s="350"/>
      <c r="S258" s="348" t="s">
        <v>1665</v>
      </c>
      <c r="T258" s="350"/>
      <c r="U258" s="348" t="s">
        <v>149</v>
      </c>
      <c r="V258" s="350"/>
      <c r="W258" s="348" t="s">
        <v>41</v>
      </c>
      <c r="X258" s="349">
        <v>5</v>
      </c>
    </row>
    <row r="259" spans="1:24" ht="57" x14ac:dyDescent="0.2">
      <c r="A259" s="348" t="s">
        <v>734</v>
      </c>
      <c r="B259" s="348" t="s">
        <v>1163</v>
      </c>
      <c r="C259" s="349">
        <v>0</v>
      </c>
      <c r="D259" s="349">
        <v>0</v>
      </c>
      <c r="E259" s="349">
        <v>0</v>
      </c>
      <c r="F259" s="349">
        <v>0</v>
      </c>
      <c r="G259" s="349">
        <v>0</v>
      </c>
      <c r="H259" s="349">
        <v>0</v>
      </c>
      <c r="I259" s="349">
        <v>0</v>
      </c>
      <c r="J259" s="349">
        <v>1</v>
      </c>
      <c r="K259" s="350"/>
      <c r="L259" s="348" t="s">
        <v>9</v>
      </c>
      <c r="M259" s="350"/>
      <c r="N259" s="350"/>
      <c r="O259" s="352" t="s">
        <v>1666</v>
      </c>
      <c r="P259" s="352" t="s">
        <v>1666</v>
      </c>
      <c r="Q259" s="348" t="s">
        <v>736</v>
      </c>
      <c r="R259" s="350"/>
      <c r="S259" s="352" t="s">
        <v>1666</v>
      </c>
      <c r="T259" s="350"/>
      <c r="U259" s="348" t="s">
        <v>149</v>
      </c>
      <c r="V259" s="350"/>
      <c r="W259" s="348" t="s">
        <v>41</v>
      </c>
      <c r="X259" s="349">
        <v>5</v>
      </c>
    </row>
    <row r="260" spans="1:24" ht="71.25" x14ac:dyDescent="0.2">
      <c r="A260" s="348" t="s">
        <v>735</v>
      </c>
      <c r="B260" s="348" t="s">
        <v>1164</v>
      </c>
      <c r="C260" s="349">
        <v>0</v>
      </c>
      <c r="D260" s="349">
        <v>0</v>
      </c>
      <c r="E260" s="349">
        <v>0</v>
      </c>
      <c r="F260" s="349">
        <v>0</v>
      </c>
      <c r="G260" s="349">
        <v>0</v>
      </c>
      <c r="H260" s="349">
        <v>0</v>
      </c>
      <c r="I260" s="349">
        <v>0</v>
      </c>
      <c r="J260" s="349">
        <v>1</v>
      </c>
      <c r="K260" s="350"/>
      <c r="L260" s="348" t="s">
        <v>9</v>
      </c>
      <c r="M260" s="350"/>
      <c r="N260" s="350"/>
      <c r="O260" s="352" t="s">
        <v>1667</v>
      </c>
      <c r="P260" s="352" t="s">
        <v>1667</v>
      </c>
      <c r="Q260" s="348" t="s">
        <v>1165</v>
      </c>
      <c r="R260" s="350"/>
      <c r="S260" s="348" t="s">
        <v>1668</v>
      </c>
      <c r="T260" s="350"/>
      <c r="U260" s="348" t="s">
        <v>149</v>
      </c>
      <c r="V260" s="350"/>
      <c r="W260" s="348" t="s">
        <v>41</v>
      </c>
      <c r="X260" s="349">
        <v>5</v>
      </c>
    </row>
    <row r="261" spans="1:24" ht="71.25" x14ac:dyDescent="0.2">
      <c r="A261" s="348" t="s">
        <v>737</v>
      </c>
      <c r="B261" s="348" t="s">
        <v>730</v>
      </c>
      <c r="C261" s="349">
        <v>0</v>
      </c>
      <c r="D261" s="349">
        <v>0</v>
      </c>
      <c r="E261" s="349">
        <v>0</v>
      </c>
      <c r="F261" s="349">
        <v>0</v>
      </c>
      <c r="G261" s="349">
        <v>0</v>
      </c>
      <c r="H261" s="349">
        <v>0</v>
      </c>
      <c r="I261" s="349">
        <v>0</v>
      </c>
      <c r="J261" s="349">
        <v>1</v>
      </c>
      <c r="K261" s="348" t="s">
        <v>37</v>
      </c>
      <c r="L261" s="348" t="s">
        <v>1040</v>
      </c>
      <c r="M261" s="350"/>
      <c r="N261" s="350"/>
      <c r="O261" s="353"/>
      <c r="P261" s="348" t="s">
        <v>1669</v>
      </c>
      <c r="Q261" s="350"/>
      <c r="R261" s="350"/>
      <c r="S261" s="348" t="s">
        <v>1670</v>
      </c>
      <c r="T261" s="350"/>
      <c r="U261" s="348" t="s">
        <v>40</v>
      </c>
      <c r="V261" s="350"/>
      <c r="W261" s="348" t="s">
        <v>41</v>
      </c>
      <c r="X261" s="349">
        <v>5</v>
      </c>
    </row>
    <row r="262" spans="1:24" ht="171" x14ac:dyDescent="0.2">
      <c r="A262" s="348" t="s">
        <v>738</v>
      </c>
      <c r="B262" s="348" t="s">
        <v>739</v>
      </c>
      <c r="C262" s="349">
        <v>0</v>
      </c>
      <c r="D262" s="349">
        <v>0</v>
      </c>
      <c r="E262" s="349">
        <v>0</v>
      </c>
      <c r="F262" s="349">
        <v>0</v>
      </c>
      <c r="G262" s="349">
        <v>0</v>
      </c>
      <c r="H262" s="349">
        <v>0</v>
      </c>
      <c r="I262" s="349">
        <v>0</v>
      </c>
      <c r="J262" s="349">
        <v>1</v>
      </c>
      <c r="K262" s="350"/>
      <c r="L262" s="348" t="s">
        <v>9</v>
      </c>
      <c r="M262" s="350"/>
      <c r="N262" s="350"/>
      <c r="O262" s="353"/>
      <c r="P262" s="348" t="s">
        <v>1671</v>
      </c>
      <c r="Q262" s="348" t="s">
        <v>740</v>
      </c>
      <c r="R262" s="350"/>
      <c r="S262" s="348" t="s">
        <v>1672</v>
      </c>
      <c r="T262" s="354" t="s">
        <v>1673</v>
      </c>
      <c r="U262" s="348" t="s">
        <v>40</v>
      </c>
      <c r="V262" s="350"/>
      <c r="W262" s="348" t="s">
        <v>41</v>
      </c>
      <c r="X262" s="349">
        <v>5</v>
      </c>
    </row>
    <row r="263" spans="1:24" ht="185.25" x14ac:dyDescent="0.2">
      <c r="A263" s="348" t="s">
        <v>741</v>
      </c>
      <c r="B263" s="348" t="s">
        <v>1166</v>
      </c>
      <c r="C263" s="349">
        <v>0</v>
      </c>
      <c r="D263" s="349">
        <v>0</v>
      </c>
      <c r="E263" s="349">
        <v>0</v>
      </c>
      <c r="F263" s="349">
        <v>0</v>
      </c>
      <c r="G263" s="349">
        <v>0</v>
      </c>
      <c r="H263" s="349">
        <v>0</v>
      </c>
      <c r="I263" s="349">
        <v>0</v>
      </c>
      <c r="J263" s="349">
        <v>1</v>
      </c>
      <c r="K263" s="350"/>
      <c r="L263" s="348" t="s">
        <v>9</v>
      </c>
      <c r="M263" s="350"/>
      <c r="N263" s="350"/>
      <c r="O263" s="348" t="s">
        <v>1674</v>
      </c>
      <c r="P263" s="348" t="s">
        <v>742</v>
      </c>
      <c r="Q263" s="348" t="s">
        <v>743</v>
      </c>
      <c r="R263" s="350"/>
      <c r="S263" s="348" t="s">
        <v>1675</v>
      </c>
      <c r="T263" s="350"/>
      <c r="U263" s="348" t="s">
        <v>40</v>
      </c>
      <c r="V263" s="350"/>
      <c r="W263" s="348" t="s">
        <v>41</v>
      </c>
      <c r="X263" s="349">
        <v>5</v>
      </c>
    </row>
    <row r="264" spans="1:24" ht="99.75" x14ac:dyDescent="0.2">
      <c r="A264" s="348" t="s">
        <v>744</v>
      </c>
      <c r="B264" s="348" t="s">
        <v>526</v>
      </c>
      <c r="C264" s="349">
        <v>0</v>
      </c>
      <c r="D264" s="349">
        <v>0</v>
      </c>
      <c r="E264" s="349">
        <v>0</v>
      </c>
      <c r="F264" s="349">
        <v>0</v>
      </c>
      <c r="G264" s="349">
        <v>0</v>
      </c>
      <c r="H264" s="349">
        <v>0</v>
      </c>
      <c r="I264" s="349">
        <v>0</v>
      </c>
      <c r="J264" s="349">
        <v>1</v>
      </c>
      <c r="K264" s="350"/>
      <c r="L264" s="348" t="s">
        <v>9</v>
      </c>
      <c r="M264" s="350"/>
      <c r="N264" s="350"/>
      <c r="O264" s="350"/>
      <c r="P264" s="348" t="s">
        <v>745</v>
      </c>
      <c r="Q264" s="348" t="s">
        <v>1676</v>
      </c>
      <c r="R264" s="350"/>
      <c r="S264" s="348" t="s">
        <v>1677</v>
      </c>
      <c r="T264" s="348" t="s">
        <v>1678</v>
      </c>
      <c r="U264" s="348" t="s">
        <v>40</v>
      </c>
      <c r="V264" s="350"/>
      <c r="W264" s="348" t="s">
        <v>75</v>
      </c>
      <c r="X264" s="349">
        <v>10</v>
      </c>
    </row>
    <row r="265" spans="1:24" ht="99.75" x14ac:dyDescent="0.2">
      <c r="A265" s="348" t="s">
        <v>746</v>
      </c>
      <c r="B265" s="348" t="s">
        <v>747</v>
      </c>
      <c r="C265" s="349">
        <v>0</v>
      </c>
      <c r="D265" s="349">
        <v>0</v>
      </c>
      <c r="E265" s="349">
        <v>0</v>
      </c>
      <c r="F265" s="349">
        <v>0</v>
      </c>
      <c r="G265" s="349">
        <v>0</v>
      </c>
      <c r="H265" s="349">
        <v>0</v>
      </c>
      <c r="I265" s="349">
        <v>0</v>
      </c>
      <c r="J265" s="349">
        <v>1</v>
      </c>
      <c r="K265" s="350"/>
      <c r="L265" s="348" t="s">
        <v>9</v>
      </c>
      <c r="M265" s="350"/>
      <c r="N265" s="350"/>
      <c r="O265" s="348" t="s">
        <v>1679</v>
      </c>
      <c r="P265" s="348" t="s">
        <v>1680</v>
      </c>
      <c r="Q265" s="350"/>
      <c r="R265" s="350"/>
      <c r="S265" s="348" t="s">
        <v>1681</v>
      </c>
      <c r="T265" s="348" t="s">
        <v>1682</v>
      </c>
      <c r="U265" s="348" t="s">
        <v>40</v>
      </c>
      <c r="V265" s="350"/>
      <c r="W265" s="348" t="s">
        <v>41</v>
      </c>
      <c r="X265" s="349">
        <v>5</v>
      </c>
    </row>
    <row r="266" spans="1:24" ht="114" x14ac:dyDescent="0.2">
      <c r="A266" s="348" t="s">
        <v>748</v>
      </c>
      <c r="B266" s="348" t="s">
        <v>749</v>
      </c>
      <c r="C266" s="349">
        <v>0</v>
      </c>
      <c r="D266" s="349">
        <v>0</v>
      </c>
      <c r="E266" s="349">
        <v>0</v>
      </c>
      <c r="F266" s="349">
        <v>0</v>
      </c>
      <c r="G266" s="349">
        <v>0</v>
      </c>
      <c r="H266" s="349">
        <v>0</v>
      </c>
      <c r="I266" s="349">
        <v>0</v>
      </c>
      <c r="J266" s="349">
        <v>1</v>
      </c>
      <c r="K266" s="350"/>
      <c r="L266" s="348" t="s">
        <v>9</v>
      </c>
      <c r="M266" s="350"/>
      <c r="N266" s="350"/>
      <c r="O266" s="348" t="s">
        <v>1683</v>
      </c>
      <c r="P266" s="348" t="s">
        <v>1684</v>
      </c>
      <c r="Q266" s="350"/>
      <c r="R266" s="350"/>
      <c r="S266" s="348" t="s">
        <v>1685</v>
      </c>
      <c r="T266" s="348" t="s">
        <v>1686</v>
      </c>
      <c r="U266" s="348" t="s">
        <v>40</v>
      </c>
      <c r="V266" s="350"/>
      <c r="W266" s="348" t="s">
        <v>41</v>
      </c>
      <c r="X266" s="349">
        <v>5</v>
      </c>
    </row>
    <row r="267" spans="1:24" ht="213.75" x14ac:dyDescent="0.2">
      <c r="A267" s="348" t="s">
        <v>750</v>
      </c>
      <c r="B267" s="348" t="s">
        <v>1057</v>
      </c>
      <c r="C267" s="349">
        <v>0</v>
      </c>
      <c r="D267" s="349">
        <v>0</v>
      </c>
      <c r="E267" s="349">
        <v>0</v>
      </c>
      <c r="F267" s="349">
        <v>0</v>
      </c>
      <c r="G267" s="349">
        <v>0</v>
      </c>
      <c r="H267" s="349">
        <v>0</v>
      </c>
      <c r="I267" s="349">
        <v>0</v>
      </c>
      <c r="J267" s="349">
        <v>1</v>
      </c>
      <c r="K267" s="350"/>
      <c r="L267" s="348" t="s">
        <v>9</v>
      </c>
      <c r="M267" s="350"/>
      <c r="N267" s="350"/>
      <c r="O267" s="348" t="s">
        <v>1687</v>
      </c>
      <c r="P267" s="348" t="s">
        <v>1688</v>
      </c>
      <c r="Q267" s="348" t="s">
        <v>1689</v>
      </c>
      <c r="R267" s="350"/>
      <c r="S267" s="348" t="s">
        <v>1690</v>
      </c>
      <c r="T267" s="350"/>
      <c r="U267" s="348" t="s">
        <v>40</v>
      </c>
      <c r="V267" s="350"/>
      <c r="W267" s="348" t="s">
        <v>46</v>
      </c>
      <c r="X267" s="349">
        <v>20</v>
      </c>
    </row>
    <row r="268" spans="1:24" ht="128.25" x14ac:dyDescent="0.2">
      <c r="A268" s="348" t="s">
        <v>751</v>
      </c>
      <c r="B268" s="348" t="s">
        <v>752</v>
      </c>
      <c r="C268" s="349">
        <v>0</v>
      </c>
      <c r="D268" s="349">
        <v>0</v>
      </c>
      <c r="E268" s="349">
        <v>0</v>
      </c>
      <c r="F268" s="349">
        <v>0</v>
      </c>
      <c r="G268" s="349">
        <v>0</v>
      </c>
      <c r="H268" s="349">
        <v>0</v>
      </c>
      <c r="I268" s="349">
        <v>0</v>
      </c>
      <c r="J268" s="349">
        <v>1</v>
      </c>
      <c r="K268" s="350"/>
      <c r="L268" s="348" t="s">
        <v>9</v>
      </c>
      <c r="M268" s="350"/>
      <c r="N268" s="350"/>
      <c r="O268" s="350"/>
      <c r="P268" s="348" t="s">
        <v>753</v>
      </c>
      <c r="Q268" s="348" t="s">
        <v>1691</v>
      </c>
      <c r="R268" s="350"/>
      <c r="S268" s="348" t="s">
        <v>1692</v>
      </c>
      <c r="T268" s="348" t="s">
        <v>1693</v>
      </c>
      <c r="U268" s="348" t="s">
        <v>40</v>
      </c>
      <c r="V268" s="350"/>
      <c r="W268" s="348" t="s">
        <v>41</v>
      </c>
      <c r="X268" s="349">
        <v>5</v>
      </c>
    </row>
    <row r="269" spans="1:24" ht="185.25" x14ac:dyDescent="0.2">
      <c r="A269" s="348" t="s">
        <v>754</v>
      </c>
      <c r="B269" s="348" t="s">
        <v>755</v>
      </c>
      <c r="C269" s="349">
        <v>0</v>
      </c>
      <c r="D269" s="349">
        <v>0</v>
      </c>
      <c r="E269" s="349">
        <v>0</v>
      </c>
      <c r="F269" s="349">
        <v>0</v>
      </c>
      <c r="G269" s="349">
        <v>0</v>
      </c>
      <c r="H269" s="349">
        <v>0</v>
      </c>
      <c r="I269" s="349">
        <v>0</v>
      </c>
      <c r="J269" s="349">
        <v>1</v>
      </c>
      <c r="K269" s="350"/>
      <c r="L269" s="348" t="s">
        <v>9</v>
      </c>
      <c r="M269" s="350"/>
      <c r="N269" s="350"/>
      <c r="O269" s="350"/>
      <c r="P269" s="348" t="s">
        <v>756</v>
      </c>
      <c r="Q269" s="348" t="s">
        <v>1689</v>
      </c>
      <c r="R269" s="355" t="s">
        <v>1626</v>
      </c>
      <c r="S269" s="348" t="s">
        <v>1694</v>
      </c>
      <c r="T269" s="348" t="s">
        <v>1695</v>
      </c>
      <c r="U269" s="348" t="s">
        <v>40</v>
      </c>
      <c r="V269" s="350"/>
      <c r="W269" s="348" t="s">
        <v>41</v>
      </c>
      <c r="X269" s="349">
        <v>5</v>
      </c>
    </row>
    <row r="270" spans="1:24" ht="199.5" x14ac:dyDescent="0.2">
      <c r="A270" s="348" t="s">
        <v>757</v>
      </c>
      <c r="B270" s="348" t="s">
        <v>1010</v>
      </c>
      <c r="C270" s="349">
        <v>0</v>
      </c>
      <c r="D270" s="349">
        <v>0</v>
      </c>
      <c r="E270" s="349">
        <v>0</v>
      </c>
      <c r="F270" s="349">
        <v>0</v>
      </c>
      <c r="G270" s="349">
        <v>0</v>
      </c>
      <c r="H270" s="349">
        <v>0</v>
      </c>
      <c r="I270" s="349">
        <v>0</v>
      </c>
      <c r="J270" s="349">
        <v>1</v>
      </c>
      <c r="K270" s="350"/>
      <c r="L270" s="348" t="s">
        <v>9</v>
      </c>
      <c r="M270" s="350"/>
      <c r="N270" s="350"/>
      <c r="O270" s="348" t="s">
        <v>1696</v>
      </c>
      <c r="P270" s="348" t="s">
        <v>1696</v>
      </c>
      <c r="Q270" s="348" t="s">
        <v>1697</v>
      </c>
      <c r="R270" s="350"/>
      <c r="S270" s="348" t="s">
        <v>1698</v>
      </c>
      <c r="T270" s="348" t="s">
        <v>1699</v>
      </c>
      <c r="U270" s="348" t="s">
        <v>149</v>
      </c>
      <c r="V270" s="350"/>
      <c r="W270" s="348" t="s">
        <v>41</v>
      </c>
      <c r="X270" s="349">
        <v>5</v>
      </c>
    </row>
    <row r="271" spans="1:24" ht="199.5" x14ac:dyDescent="0.2">
      <c r="A271" s="348" t="s">
        <v>758</v>
      </c>
      <c r="B271" s="348" t="s">
        <v>759</v>
      </c>
      <c r="C271" s="349">
        <v>0</v>
      </c>
      <c r="D271" s="349">
        <v>0</v>
      </c>
      <c r="E271" s="349">
        <v>0</v>
      </c>
      <c r="F271" s="349">
        <v>0</v>
      </c>
      <c r="G271" s="349">
        <v>0</v>
      </c>
      <c r="H271" s="349">
        <v>0</v>
      </c>
      <c r="I271" s="349">
        <v>0</v>
      </c>
      <c r="J271" s="349">
        <v>1</v>
      </c>
      <c r="K271" s="350"/>
      <c r="L271" s="348" t="s">
        <v>9</v>
      </c>
      <c r="M271" s="350"/>
      <c r="N271" s="350"/>
      <c r="O271" s="350"/>
      <c r="P271" s="348" t="s">
        <v>1700</v>
      </c>
      <c r="Q271" s="348" t="s">
        <v>1701</v>
      </c>
      <c r="R271" s="350"/>
      <c r="S271" s="348" t="s">
        <v>1702</v>
      </c>
      <c r="T271" s="353"/>
      <c r="U271" s="348" t="s">
        <v>40</v>
      </c>
      <c r="V271" s="350"/>
      <c r="W271" s="348" t="s">
        <v>41</v>
      </c>
      <c r="X271" s="349">
        <v>5</v>
      </c>
    </row>
    <row r="272" spans="1:24" ht="128.25" x14ac:dyDescent="0.2">
      <c r="A272" s="348" t="s">
        <v>760</v>
      </c>
      <c r="B272" s="348" t="s">
        <v>761</v>
      </c>
      <c r="C272" s="349">
        <v>0</v>
      </c>
      <c r="D272" s="349">
        <v>0</v>
      </c>
      <c r="E272" s="349">
        <v>0</v>
      </c>
      <c r="F272" s="349">
        <v>0</v>
      </c>
      <c r="G272" s="349">
        <v>0</v>
      </c>
      <c r="H272" s="349">
        <v>0</v>
      </c>
      <c r="I272" s="349">
        <v>0</v>
      </c>
      <c r="J272" s="349">
        <v>1</v>
      </c>
      <c r="K272" s="350"/>
      <c r="L272" s="348" t="s">
        <v>9</v>
      </c>
      <c r="M272" s="350"/>
      <c r="N272" s="350"/>
      <c r="O272" s="353"/>
      <c r="P272" s="348" t="s">
        <v>1703</v>
      </c>
      <c r="Q272" s="348" t="s">
        <v>762</v>
      </c>
      <c r="R272" s="350"/>
      <c r="S272" s="348" t="s">
        <v>1704</v>
      </c>
      <c r="T272" s="350"/>
      <c r="U272" s="348" t="s">
        <v>40</v>
      </c>
      <c r="V272" s="350"/>
      <c r="W272" s="348" t="s">
        <v>41</v>
      </c>
      <c r="X272" s="349">
        <v>5</v>
      </c>
    </row>
    <row r="273" spans="1:24" ht="57" x14ac:dyDescent="0.2">
      <c r="A273" s="348" t="s">
        <v>763</v>
      </c>
      <c r="B273" s="348" t="s">
        <v>1705</v>
      </c>
      <c r="C273" s="349">
        <v>0</v>
      </c>
      <c r="D273" s="349">
        <v>0</v>
      </c>
      <c r="E273" s="349">
        <v>0</v>
      </c>
      <c r="F273" s="349">
        <v>0</v>
      </c>
      <c r="G273" s="349">
        <v>0</v>
      </c>
      <c r="H273" s="349">
        <v>0</v>
      </c>
      <c r="I273" s="349">
        <v>0</v>
      </c>
      <c r="J273" s="349">
        <v>1</v>
      </c>
      <c r="K273" s="350"/>
      <c r="L273" s="348" t="s">
        <v>9</v>
      </c>
      <c r="M273" s="350"/>
      <c r="N273" s="350"/>
      <c r="O273" s="350"/>
      <c r="P273" s="348" t="s">
        <v>1706</v>
      </c>
      <c r="Q273" s="348" t="s">
        <v>1707</v>
      </c>
      <c r="R273" s="350"/>
      <c r="S273" s="350"/>
      <c r="T273" s="350"/>
      <c r="U273" s="348" t="s">
        <v>149</v>
      </c>
      <c r="V273" s="350"/>
      <c r="W273" s="348" t="s">
        <v>46</v>
      </c>
      <c r="X273" s="349">
        <v>20</v>
      </c>
    </row>
    <row r="274" spans="1:24" ht="114" x14ac:dyDescent="0.2">
      <c r="A274" s="348" t="s">
        <v>764</v>
      </c>
      <c r="B274" s="348" t="s">
        <v>765</v>
      </c>
      <c r="C274" s="349">
        <v>0</v>
      </c>
      <c r="D274" s="349">
        <v>0</v>
      </c>
      <c r="E274" s="349">
        <v>0</v>
      </c>
      <c r="F274" s="349">
        <v>0</v>
      </c>
      <c r="G274" s="349">
        <v>0</v>
      </c>
      <c r="H274" s="349">
        <v>0</v>
      </c>
      <c r="I274" s="349">
        <v>0</v>
      </c>
      <c r="J274" s="349">
        <v>1</v>
      </c>
      <c r="K274" s="350"/>
      <c r="L274" s="348" t="s">
        <v>9</v>
      </c>
      <c r="M274" s="350"/>
      <c r="N274" s="350"/>
      <c r="O274" s="348" t="s">
        <v>1708</v>
      </c>
      <c r="P274" s="348" t="s">
        <v>1709</v>
      </c>
      <c r="Q274" s="348" t="s">
        <v>1710</v>
      </c>
      <c r="R274" s="350"/>
      <c r="S274" s="348" t="s">
        <v>1711</v>
      </c>
      <c r="T274" s="350"/>
      <c r="U274" s="348" t="s">
        <v>40</v>
      </c>
      <c r="V274" s="350"/>
      <c r="W274" s="348" t="s">
        <v>41</v>
      </c>
      <c r="X274" s="349">
        <v>5</v>
      </c>
    </row>
    <row r="275" spans="1:24" ht="99.75" x14ac:dyDescent="0.2">
      <c r="A275" s="348" t="s">
        <v>766</v>
      </c>
      <c r="B275" s="348" t="s">
        <v>767</v>
      </c>
      <c r="C275" s="349">
        <v>0</v>
      </c>
      <c r="D275" s="349">
        <v>0</v>
      </c>
      <c r="E275" s="349">
        <v>0</v>
      </c>
      <c r="F275" s="349">
        <v>0</v>
      </c>
      <c r="G275" s="349">
        <v>0</v>
      </c>
      <c r="H275" s="349">
        <v>0</v>
      </c>
      <c r="I275" s="349">
        <v>0</v>
      </c>
      <c r="J275" s="349">
        <v>1</v>
      </c>
      <c r="K275" s="348" t="s">
        <v>37</v>
      </c>
      <c r="L275" s="348" t="s">
        <v>9</v>
      </c>
      <c r="M275" s="350"/>
      <c r="N275" s="350"/>
      <c r="O275" s="348" t="s">
        <v>1712</v>
      </c>
      <c r="P275" s="350"/>
      <c r="Q275" s="348" t="s">
        <v>768</v>
      </c>
      <c r="R275" s="350"/>
      <c r="S275" s="348" t="s">
        <v>1713</v>
      </c>
      <c r="T275" s="348" t="s">
        <v>1714</v>
      </c>
      <c r="U275" s="348" t="s">
        <v>149</v>
      </c>
      <c r="V275" s="350"/>
      <c r="W275" s="348" t="s">
        <v>75</v>
      </c>
      <c r="X275" s="349">
        <v>10</v>
      </c>
    </row>
    <row r="276" spans="1:24" ht="57" x14ac:dyDescent="0.2">
      <c r="A276" s="348" t="s">
        <v>769</v>
      </c>
      <c r="B276" s="348" t="s">
        <v>1167</v>
      </c>
      <c r="C276" s="349">
        <v>0</v>
      </c>
      <c r="D276" s="349">
        <v>0</v>
      </c>
      <c r="E276" s="349">
        <v>0</v>
      </c>
      <c r="F276" s="349">
        <v>0</v>
      </c>
      <c r="G276" s="349">
        <v>0</v>
      </c>
      <c r="H276" s="349">
        <v>0</v>
      </c>
      <c r="I276" s="349">
        <v>0</v>
      </c>
      <c r="J276" s="349">
        <v>1</v>
      </c>
      <c r="K276" s="348" t="s">
        <v>37</v>
      </c>
      <c r="L276" s="348" t="s">
        <v>9</v>
      </c>
      <c r="M276" s="350"/>
      <c r="N276" s="350"/>
      <c r="O276" s="348" t="s">
        <v>1715</v>
      </c>
      <c r="P276" s="348" t="s">
        <v>1709</v>
      </c>
      <c r="Q276" s="348" t="s">
        <v>770</v>
      </c>
      <c r="R276" s="350"/>
      <c r="S276" s="348" t="s">
        <v>1716</v>
      </c>
      <c r="T276" s="350"/>
      <c r="U276" s="348" t="s">
        <v>40</v>
      </c>
      <c r="V276" s="350"/>
      <c r="W276" s="348" t="s">
        <v>75</v>
      </c>
      <c r="X276" s="349">
        <v>10</v>
      </c>
    </row>
    <row r="277" spans="1:24" ht="57" x14ac:dyDescent="0.2">
      <c r="A277" s="348" t="s">
        <v>771</v>
      </c>
      <c r="B277" s="348" t="s">
        <v>772</v>
      </c>
      <c r="C277" s="349">
        <v>0</v>
      </c>
      <c r="D277" s="349">
        <v>0</v>
      </c>
      <c r="E277" s="349">
        <v>0</v>
      </c>
      <c r="F277" s="349">
        <v>0</v>
      </c>
      <c r="G277" s="349">
        <v>0</v>
      </c>
      <c r="H277" s="349">
        <v>0</v>
      </c>
      <c r="I277" s="349">
        <v>0</v>
      </c>
      <c r="J277" s="349">
        <v>1</v>
      </c>
      <c r="K277" s="348" t="s">
        <v>37</v>
      </c>
      <c r="L277" s="348" t="s">
        <v>9</v>
      </c>
      <c r="M277" s="350"/>
      <c r="N277" s="350"/>
      <c r="O277" s="348" t="s">
        <v>1717</v>
      </c>
      <c r="P277" s="348" t="s">
        <v>1709</v>
      </c>
      <c r="Q277" s="350"/>
      <c r="R277" s="350"/>
      <c r="S277" s="348" t="s">
        <v>1718</v>
      </c>
      <c r="T277" s="350"/>
      <c r="U277" s="348" t="s">
        <v>40</v>
      </c>
      <c r="V277" s="350"/>
      <c r="W277" s="348" t="s">
        <v>75</v>
      </c>
      <c r="X277" s="349">
        <v>10</v>
      </c>
    </row>
    <row r="278" spans="1:24" ht="99.75" x14ac:dyDescent="0.2">
      <c r="A278" s="348" t="s">
        <v>773</v>
      </c>
      <c r="B278" s="348" t="s">
        <v>774</v>
      </c>
      <c r="C278" s="349">
        <v>0</v>
      </c>
      <c r="D278" s="349">
        <v>0</v>
      </c>
      <c r="E278" s="349">
        <v>0</v>
      </c>
      <c r="F278" s="349">
        <v>0</v>
      </c>
      <c r="G278" s="349">
        <v>0</v>
      </c>
      <c r="H278" s="349">
        <v>0</v>
      </c>
      <c r="I278" s="349">
        <v>0</v>
      </c>
      <c r="J278" s="349">
        <v>1</v>
      </c>
      <c r="K278" s="348" t="s">
        <v>37</v>
      </c>
      <c r="L278" s="348" t="s">
        <v>9</v>
      </c>
      <c r="M278" s="350"/>
      <c r="N278" s="350"/>
      <c r="O278" s="348" t="s">
        <v>1719</v>
      </c>
      <c r="P278" s="348" t="s">
        <v>1719</v>
      </c>
      <c r="Q278" s="348" t="s">
        <v>775</v>
      </c>
      <c r="R278" s="350"/>
      <c r="S278" s="348" t="s">
        <v>1720</v>
      </c>
      <c r="T278" s="348" t="s">
        <v>1721</v>
      </c>
      <c r="U278" s="348" t="s">
        <v>149</v>
      </c>
      <c r="V278" s="350"/>
      <c r="W278" s="348" t="s">
        <v>75</v>
      </c>
      <c r="X278" s="349">
        <v>10</v>
      </c>
    </row>
    <row r="279" spans="1:24" ht="57" x14ac:dyDescent="0.2">
      <c r="A279" s="348" t="s">
        <v>776</v>
      </c>
      <c r="B279" s="348" t="s">
        <v>777</v>
      </c>
      <c r="C279" s="349">
        <v>0</v>
      </c>
      <c r="D279" s="349">
        <v>0</v>
      </c>
      <c r="E279" s="349">
        <v>0</v>
      </c>
      <c r="F279" s="349">
        <v>0</v>
      </c>
      <c r="G279" s="349">
        <v>0</v>
      </c>
      <c r="H279" s="349">
        <v>0</v>
      </c>
      <c r="I279" s="349">
        <v>0</v>
      </c>
      <c r="J279" s="349">
        <v>1</v>
      </c>
      <c r="K279" s="348" t="s">
        <v>37</v>
      </c>
      <c r="L279" s="348" t="s">
        <v>9</v>
      </c>
      <c r="M279" s="350"/>
      <c r="N279" s="350"/>
      <c r="O279" s="348" t="s">
        <v>1722</v>
      </c>
      <c r="P279" s="348" t="s">
        <v>1709</v>
      </c>
      <c r="Q279" s="350"/>
      <c r="R279" s="348" t="s">
        <v>1586</v>
      </c>
      <c r="S279" s="348" t="s">
        <v>1723</v>
      </c>
      <c r="T279" s="350"/>
      <c r="U279" s="348" t="s">
        <v>40</v>
      </c>
      <c r="V279" s="350"/>
      <c r="W279" s="348" t="s">
        <v>75</v>
      </c>
      <c r="X279" s="349">
        <v>10</v>
      </c>
    </row>
    <row r="280" spans="1:24" ht="28.5" x14ac:dyDescent="0.2">
      <c r="A280" s="348" t="s">
        <v>1071</v>
      </c>
      <c r="B280" s="348" t="s">
        <v>1263</v>
      </c>
      <c r="C280" s="349">
        <v>0</v>
      </c>
      <c r="D280" s="349">
        <v>0</v>
      </c>
      <c r="E280" s="349">
        <v>0</v>
      </c>
      <c r="F280" s="349">
        <v>0</v>
      </c>
      <c r="G280" s="349">
        <v>0</v>
      </c>
      <c r="H280" s="349">
        <v>0</v>
      </c>
      <c r="I280" s="349">
        <v>0</v>
      </c>
      <c r="J280" s="349">
        <v>1</v>
      </c>
      <c r="K280" s="350"/>
      <c r="L280" s="348" t="s">
        <v>9</v>
      </c>
      <c r="M280" s="350"/>
      <c r="N280" s="350"/>
      <c r="O280" s="350"/>
      <c r="P280" s="348" t="s">
        <v>1724</v>
      </c>
      <c r="Q280" s="348" t="s">
        <v>1725</v>
      </c>
      <c r="R280" s="350"/>
      <c r="S280" s="350"/>
      <c r="T280" s="350"/>
      <c r="U280" s="348" t="s">
        <v>40</v>
      </c>
      <c r="V280" s="350"/>
      <c r="W280" s="348" t="s">
        <v>75</v>
      </c>
      <c r="X280" s="349">
        <v>10</v>
      </c>
    </row>
    <row r="281" spans="1:24" ht="57" x14ac:dyDescent="0.2">
      <c r="A281" s="348" t="s">
        <v>1072</v>
      </c>
      <c r="B281" s="348" t="s">
        <v>778</v>
      </c>
      <c r="C281" s="349">
        <v>0</v>
      </c>
      <c r="D281" s="349">
        <v>0</v>
      </c>
      <c r="E281" s="349">
        <v>0</v>
      </c>
      <c r="F281" s="349">
        <v>0</v>
      </c>
      <c r="G281" s="349">
        <v>0</v>
      </c>
      <c r="H281" s="349">
        <v>0</v>
      </c>
      <c r="I281" s="349">
        <v>0</v>
      </c>
      <c r="J281" s="349">
        <v>1</v>
      </c>
      <c r="K281" s="350"/>
      <c r="L281" s="348" t="s">
        <v>9</v>
      </c>
      <c r="M281" s="350"/>
      <c r="N281" s="350"/>
      <c r="O281" s="350"/>
      <c r="P281" s="348" t="s">
        <v>1709</v>
      </c>
      <c r="Q281" s="348" t="s">
        <v>1726</v>
      </c>
      <c r="R281" s="350"/>
      <c r="S281" s="350"/>
      <c r="T281" s="348" t="s">
        <v>1727</v>
      </c>
      <c r="U281" s="348" t="s">
        <v>40</v>
      </c>
      <c r="V281" s="350"/>
      <c r="W281" s="348" t="s">
        <v>75</v>
      </c>
      <c r="X281" s="349">
        <v>10</v>
      </c>
    </row>
    <row r="282" spans="1:24" ht="57" x14ac:dyDescent="0.2">
      <c r="A282" s="348" t="s">
        <v>1073</v>
      </c>
      <c r="B282" s="348" t="s">
        <v>779</v>
      </c>
      <c r="C282" s="349">
        <v>0</v>
      </c>
      <c r="D282" s="349">
        <v>0</v>
      </c>
      <c r="E282" s="349">
        <v>0</v>
      </c>
      <c r="F282" s="349">
        <v>0</v>
      </c>
      <c r="G282" s="349">
        <v>0</v>
      </c>
      <c r="H282" s="349">
        <v>0</v>
      </c>
      <c r="I282" s="349">
        <v>0</v>
      </c>
      <c r="J282" s="349">
        <v>1</v>
      </c>
      <c r="K282" s="350"/>
      <c r="L282" s="348" t="s">
        <v>9</v>
      </c>
      <c r="M282" s="350"/>
      <c r="N282" s="350"/>
      <c r="O282" s="350"/>
      <c r="P282" s="348" t="s">
        <v>1709</v>
      </c>
      <c r="Q282" s="348" t="s">
        <v>1725</v>
      </c>
      <c r="R282" s="355" t="s">
        <v>1626</v>
      </c>
      <c r="S282" s="350"/>
      <c r="T282" s="350"/>
      <c r="U282" s="348" t="s">
        <v>40</v>
      </c>
      <c r="V282" s="350"/>
      <c r="W282" s="348" t="s">
        <v>75</v>
      </c>
      <c r="X282" s="349">
        <v>10</v>
      </c>
    </row>
    <row r="283" spans="1:24" ht="142.5" x14ac:dyDescent="0.2">
      <c r="A283" s="348" t="s">
        <v>1074</v>
      </c>
      <c r="B283" s="348" t="s">
        <v>1532</v>
      </c>
      <c r="C283" s="349">
        <v>0</v>
      </c>
      <c r="D283" s="349">
        <v>0</v>
      </c>
      <c r="E283" s="349">
        <v>0</v>
      </c>
      <c r="F283" s="349">
        <v>0</v>
      </c>
      <c r="G283" s="349">
        <v>0</v>
      </c>
      <c r="H283" s="349">
        <v>0</v>
      </c>
      <c r="I283" s="349">
        <v>0</v>
      </c>
      <c r="J283" s="349">
        <v>1</v>
      </c>
      <c r="K283" s="350"/>
      <c r="L283" s="348" t="s">
        <v>9</v>
      </c>
      <c r="M283" s="350"/>
      <c r="N283" s="350"/>
      <c r="O283" s="348" t="s">
        <v>1728</v>
      </c>
      <c r="P283" s="348" t="s">
        <v>1709</v>
      </c>
      <c r="Q283" s="348" t="s">
        <v>1729</v>
      </c>
      <c r="R283" s="355" t="s">
        <v>1626</v>
      </c>
      <c r="S283" s="348" t="s">
        <v>1730</v>
      </c>
      <c r="T283" s="350"/>
      <c r="U283" s="348" t="s">
        <v>40</v>
      </c>
      <c r="V283" s="350"/>
      <c r="W283" s="348" t="s">
        <v>75</v>
      </c>
      <c r="X283" s="349">
        <v>10</v>
      </c>
    </row>
    <row r="284" spans="1:24" ht="57" x14ac:dyDescent="0.2">
      <c r="A284" s="348" t="s">
        <v>1075</v>
      </c>
      <c r="B284" s="348" t="s">
        <v>780</v>
      </c>
      <c r="C284" s="349">
        <v>0</v>
      </c>
      <c r="D284" s="349">
        <v>0</v>
      </c>
      <c r="E284" s="349">
        <v>0</v>
      </c>
      <c r="F284" s="349">
        <v>0</v>
      </c>
      <c r="G284" s="349">
        <v>0</v>
      </c>
      <c r="H284" s="349">
        <v>0</v>
      </c>
      <c r="I284" s="349">
        <v>0</v>
      </c>
      <c r="J284" s="349">
        <v>1</v>
      </c>
      <c r="K284" s="350"/>
      <c r="L284" s="348" t="s">
        <v>9</v>
      </c>
      <c r="M284" s="350"/>
      <c r="N284" s="350"/>
      <c r="O284" s="350"/>
      <c r="P284" s="348" t="s">
        <v>1709</v>
      </c>
      <c r="Q284" s="348" t="s">
        <v>1725</v>
      </c>
      <c r="R284" s="355" t="s">
        <v>1626</v>
      </c>
      <c r="S284" s="350"/>
      <c r="T284" s="350"/>
      <c r="U284" s="348" t="s">
        <v>40</v>
      </c>
      <c r="V284" s="350"/>
      <c r="W284" s="348" t="s">
        <v>75</v>
      </c>
      <c r="X284" s="349">
        <v>10</v>
      </c>
    </row>
    <row r="285" spans="1:24" ht="114" x14ac:dyDescent="0.2">
      <c r="A285" s="348" t="s">
        <v>1076</v>
      </c>
      <c r="B285" s="348" t="s">
        <v>781</v>
      </c>
      <c r="C285" s="349">
        <v>0</v>
      </c>
      <c r="D285" s="349">
        <v>0</v>
      </c>
      <c r="E285" s="349">
        <v>0</v>
      </c>
      <c r="F285" s="349">
        <v>0</v>
      </c>
      <c r="G285" s="349">
        <v>0</v>
      </c>
      <c r="H285" s="349">
        <v>0</v>
      </c>
      <c r="I285" s="349">
        <v>0</v>
      </c>
      <c r="J285" s="349">
        <v>1</v>
      </c>
      <c r="K285" s="350"/>
      <c r="L285" s="348" t="s">
        <v>9</v>
      </c>
      <c r="M285" s="350"/>
      <c r="N285" s="350"/>
      <c r="O285" s="350"/>
      <c r="P285" s="348" t="s">
        <v>1731</v>
      </c>
      <c r="Q285" s="353"/>
      <c r="R285" s="355" t="s">
        <v>1626</v>
      </c>
      <c r="S285" s="348" t="s">
        <v>1732</v>
      </c>
      <c r="T285" s="350"/>
      <c r="U285" s="348" t="s">
        <v>40</v>
      </c>
      <c r="V285" s="350"/>
      <c r="W285" s="348" t="s">
        <v>75</v>
      </c>
      <c r="X285" s="349">
        <v>10</v>
      </c>
    </row>
    <row r="286" spans="1:24" ht="213.75" x14ac:dyDescent="0.2">
      <c r="A286" s="348" t="s">
        <v>1077</v>
      </c>
      <c r="B286" s="348" t="s">
        <v>1168</v>
      </c>
      <c r="C286" s="349">
        <v>0</v>
      </c>
      <c r="D286" s="349">
        <v>0</v>
      </c>
      <c r="E286" s="349">
        <v>0</v>
      </c>
      <c r="F286" s="349">
        <v>0</v>
      </c>
      <c r="G286" s="349">
        <v>0</v>
      </c>
      <c r="H286" s="349">
        <v>0</v>
      </c>
      <c r="I286" s="349">
        <v>0</v>
      </c>
      <c r="J286" s="349">
        <v>1</v>
      </c>
      <c r="K286" s="350"/>
      <c r="L286" s="348" t="s">
        <v>9</v>
      </c>
      <c r="M286" s="350"/>
      <c r="N286" s="350"/>
      <c r="O286" s="348" t="s">
        <v>1733</v>
      </c>
      <c r="P286" s="348" t="s">
        <v>1733</v>
      </c>
      <c r="Q286" s="348" t="s">
        <v>1733</v>
      </c>
      <c r="R286" s="355" t="s">
        <v>1626</v>
      </c>
      <c r="S286" s="348" t="s">
        <v>1734</v>
      </c>
      <c r="T286" s="350"/>
      <c r="U286" s="348" t="s">
        <v>40</v>
      </c>
      <c r="V286" s="350"/>
      <c r="W286" s="348" t="s">
        <v>75</v>
      </c>
      <c r="X286" s="349">
        <v>10</v>
      </c>
    </row>
    <row r="287" spans="1:24" ht="57" x14ac:dyDescent="0.2">
      <c r="A287" s="348" t="s">
        <v>1078</v>
      </c>
      <c r="B287" s="348" t="s">
        <v>1533</v>
      </c>
      <c r="C287" s="349">
        <v>0</v>
      </c>
      <c r="D287" s="349">
        <v>0</v>
      </c>
      <c r="E287" s="349">
        <v>0</v>
      </c>
      <c r="F287" s="349">
        <v>0</v>
      </c>
      <c r="G287" s="349">
        <v>0</v>
      </c>
      <c r="H287" s="349">
        <v>0</v>
      </c>
      <c r="I287" s="349">
        <v>0</v>
      </c>
      <c r="J287" s="349">
        <v>1</v>
      </c>
      <c r="K287" s="350"/>
      <c r="L287" s="348" t="s">
        <v>9</v>
      </c>
      <c r="M287" s="350"/>
      <c r="N287" s="350"/>
      <c r="O287" s="350"/>
      <c r="P287" s="350"/>
      <c r="Q287" s="350"/>
      <c r="R287" s="355" t="s">
        <v>1626</v>
      </c>
      <c r="S287" s="350"/>
      <c r="T287" s="350"/>
      <c r="U287" s="348" t="s">
        <v>40</v>
      </c>
      <c r="V287" s="350"/>
      <c r="W287" s="348" t="s">
        <v>75</v>
      </c>
      <c r="X287" s="349">
        <v>10</v>
      </c>
    </row>
    <row r="288" spans="1:24" ht="57" x14ac:dyDescent="0.2">
      <c r="A288" s="348" t="s">
        <v>1079</v>
      </c>
      <c r="B288" s="348" t="s">
        <v>782</v>
      </c>
      <c r="C288" s="349">
        <v>0</v>
      </c>
      <c r="D288" s="349">
        <v>0</v>
      </c>
      <c r="E288" s="349">
        <v>0</v>
      </c>
      <c r="F288" s="349">
        <v>0</v>
      </c>
      <c r="G288" s="349">
        <v>0</v>
      </c>
      <c r="H288" s="349">
        <v>0</v>
      </c>
      <c r="I288" s="349">
        <v>0</v>
      </c>
      <c r="J288" s="349">
        <v>1</v>
      </c>
      <c r="K288" s="350"/>
      <c r="L288" s="348" t="s">
        <v>9</v>
      </c>
      <c r="M288" s="350"/>
      <c r="N288" s="350"/>
      <c r="O288" s="350"/>
      <c r="P288" s="350"/>
      <c r="Q288" s="350"/>
      <c r="R288" s="355" t="s">
        <v>1626</v>
      </c>
      <c r="S288" s="350"/>
      <c r="T288" s="350"/>
      <c r="U288" s="348" t="s">
        <v>40</v>
      </c>
      <c r="V288" s="350"/>
      <c r="W288" s="348" t="s">
        <v>75</v>
      </c>
      <c r="X288" s="349">
        <v>10</v>
      </c>
    </row>
    <row r="289" spans="1:24" ht="57" x14ac:dyDescent="0.2">
      <c r="A289" s="348" t="s">
        <v>1080</v>
      </c>
      <c r="B289" s="348" t="s">
        <v>1534</v>
      </c>
      <c r="C289" s="349">
        <v>0</v>
      </c>
      <c r="D289" s="349">
        <v>0</v>
      </c>
      <c r="E289" s="349">
        <v>0</v>
      </c>
      <c r="F289" s="349">
        <v>0</v>
      </c>
      <c r="G289" s="349">
        <v>0</v>
      </c>
      <c r="H289" s="349">
        <v>0</v>
      </c>
      <c r="I289" s="349">
        <v>0</v>
      </c>
      <c r="J289" s="349">
        <v>1</v>
      </c>
      <c r="K289" s="350"/>
      <c r="L289" s="348" t="s">
        <v>9</v>
      </c>
      <c r="M289" s="350"/>
      <c r="N289" s="350"/>
      <c r="O289" s="350"/>
      <c r="P289" s="350"/>
      <c r="Q289" s="350"/>
      <c r="R289" s="355" t="s">
        <v>1626</v>
      </c>
      <c r="S289" s="350"/>
      <c r="T289" s="350"/>
      <c r="U289" s="348" t="s">
        <v>40</v>
      </c>
      <c r="V289" s="350"/>
      <c r="W289" s="348" t="s">
        <v>75</v>
      </c>
      <c r="X289" s="349">
        <v>10</v>
      </c>
    </row>
    <row r="290" spans="1:24" ht="57" x14ac:dyDescent="0.2">
      <c r="A290" s="348" t="s">
        <v>1081</v>
      </c>
      <c r="B290" s="348" t="s">
        <v>783</v>
      </c>
      <c r="C290" s="349">
        <v>0</v>
      </c>
      <c r="D290" s="349">
        <v>0</v>
      </c>
      <c r="E290" s="349">
        <v>0</v>
      </c>
      <c r="F290" s="349">
        <v>0</v>
      </c>
      <c r="G290" s="349">
        <v>0</v>
      </c>
      <c r="H290" s="349">
        <v>0</v>
      </c>
      <c r="I290" s="349">
        <v>0</v>
      </c>
      <c r="J290" s="349">
        <v>1</v>
      </c>
      <c r="K290" s="350"/>
      <c r="L290" s="348" t="s">
        <v>9</v>
      </c>
      <c r="M290" s="350"/>
      <c r="N290" s="350"/>
      <c r="O290" s="353"/>
      <c r="P290" s="350"/>
      <c r="Q290" s="348" t="s">
        <v>1735</v>
      </c>
      <c r="R290" s="355" t="s">
        <v>1626</v>
      </c>
      <c r="S290" s="350"/>
      <c r="T290" s="350"/>
      <c r="U290" s="348" t="s">
        <v>40</v>
      </c>
      <c r="V290" s="350"/>
      <c r="W290" s="348" t="s">
        <v>75</v>
      </c>
      <c r="X290" s="349">
        <v>10</v>
      </c>
    </row>
    <row r="291" spans="1:24" ht="57" x14ac:dyDescent="0.2">
      <c r="A291" s="348" t="s">
        <v>1082</v>
      </c>
      <c r="B291" s="348" t="s">
        <v>784</v>
      </c>
      <c r="C291" s="349">
        <v>0</v>
      </c>
      <c r="D291" s="349">
        <v>0</v>
      </c>
      <c r="E291" s="349">
        <v>0</v>
      </c>
      <c r="F291" s="349">
        <v>0</v>
      </c>
      <c r="G291" s="349">
        <v>0</v>
      </c>
      <c r="H291" s="349">
        <v>0</v>
      </c>
      <c r="I291" s="349">
        <v>0</v>
      </c>
      <c r="J291" s="349">
        <v>1</v>
      </c>
      <c r="K291" s="350"/>
      <c r="L291" s="348" t="s">
        <v>9</v>
      </c>
      <c r="M291" s="350"/>
      <c r="N291" s="350"/>
      <c r="O291" s="350"/>
      <c r="P291" s="350"/>
      <c r="Q291" s="348" t="s">
        <v>1736</v>
      </c>
      <c r="R291" s="355" t="s">
        <v>1626</v>
      </c>
      <c r="S291" s="350"/>
      <c r="T291" s="350"/>
      <c r="U291" s="348" t="s">
        <v>40</v>
      </c>
      <c r="V291" s="350"/>
      <c r="W291" s="348" t="s">
        <v>75</v>
      </c>
      <c r="X291" s="349">
        <v>10</v>
      </c>
    </row>
    <row r="292" spans="1:24" ht="99.75" x14ac:dyDescent="0.2">
      <c r="A292" s="348" t="s">
        <v>1083</v>
      </c>
      <c r="B292" s="348" t="s">
        <v>1737</v>
      </c>
      <c r="C292" s="349">
        <v>0</v>
      </c>
      <c r="D292" s="349">
        <v>0</v>
      </c>
      <c r="E292" s="349">
        <v>0</v>
      </c>
      <c r="F292" s="349">
        <v>0</v>
      </c>
      <c r="G292" s="349">
        <v>0</v>
      </c>
      <c r="H292" s="349">
        <v>0</v>
      </c>
      <c r="I292" s="349">
        <v>0</v>
      </c>
      <c r="J292" s="349">
        <v>1</v>
      </c>
      <c r="K292" s="350"/>
      <c r="L292" s="348" t="s">
        <v>9</v>
      </c>
      <c r="M292" s="350"/>
      <c r="N292" s="350"/>
      <c r="O292" s="350"/>
      <c r="P292" s="350"/>
      <c r="Q292" s="348" t="s">
        <v>1738</v>
      </c>
      <c r="R292" s="355" t="s">
        <v>1626</v>
      </c>
      <c r="S292" s="350"/>
      <c r="T292" s="350"/>
      <c r="U292" s="348" t="s">
        <v>149</v>
      </c>
      <c r="V292" s="350"/>
      <c r="W292" s="348" t="s">
        <v>75</v>
      </c>
      <c r="X292" s="349">
        <v>10</v>
      </c>
    </row>
    <row r="293" spans="1:24" ht="242.25" x14ac:dyDescent="0.2">
      <c r="A293" s="348" t="s">
        <v>1084</v>
      </c>
      <c r="B293" s="348" t="s">
        <v>785</v>
      </c>
      <c r="C293" s="349">
        <v>0</v>
      </c>
      <c r="D293" s="349">
        <v>0</v>
      </c>
      <c r="E293" s="349">
        <v>0</v>
      </c>
      <c r="F293" s="349">
        <v>0</v>
      </c>
      <c r="G293" s="349">
        <v>0</v>
      </c>
      <c r="H293" s="349">
        <v>0</v>
      </c>
      <c r="I293" s="349">
        <v>0</v>
      </c>
      <c r="J293" s="349">
        <v>1</v>
      </c>
      <c r="K293" s="350"/>
      <c r="L293" s="348" t="s">
        <v>9</v>
      </c>
      <c r="M293" s="350"/>
      <c r="N293" s="350"/>
      <c r="O293" s="348" t="s">
        <v>1739</v>
      </c>
      <c r="P293" s="348" t="s">
        <v>1739</v>
      </c>
      <c r="Q293" s="348" t="s">
        <v>1740</v>
      </c>
      <c r="R293" s="355" t="s">
        <v>1626</v>
      </c>
      <c r="S293" s="348" t="s">
        <v>1741</v>
      </c>
      <c r="T293" s="348" t="s">
        <v>1742</v>
      </c>
      <c r="U293" s="348" t="s">
        <v>40</v>
      </c>
      <c r="V293" s="350"/>
      <c r="W293" s="348" t="s">
        <v>75</v>
      </c>
      <c r="X293" s="349">
        <v>10</v>
      </c>
    </row>
    <row r="294" spans="1:24" ht="185.25" x14ac:dyDescent="0.2">
      <c r="A294" s="348" t="s">
        <v>1085</v>
      </c>
      <c r="B294" s="348" t="s">
        <v>786</v>
      </c>
      <c r="C294" s="349">
        <v>0</v>
      </c>
      <c r="D294" s="349">
        <v>0</v>
      </c>
      <c r="E294" s="349">
        <v>0</v>
      </c>
      <c r="F294" s="349">
        <v>0</v>
      </c>
      <c r="G294" s="349">
        <v>0</v>
      </c>
      <c r="H294" s="349">
        <v>0</v>
      </c>
      <c r="I294" s="349">
        <v>0</v>
      </c>
      <c r="J294" s="349">
        <v>1</v>
      </c>
      <c r="K294" s="350"/>
      <c r="L294" s="348" t="s">
        <v>9</v>
      </c>
      <c r="M294" s="350"/>
      <c r="N294" s="350"/>
      <c r="O294" s="350"/>
      <c r="P294" s="350"/>
      <c r="Q294" s="348" t="s">
        <v>1743</v>
      </c>
      <c r="R294" s="350"/>
      <c r="S294" s="348" t="s">
        <v>1744</v>
      </c>
      <c r="T294" s="350"/>
      <c r="U294" s="348" t="s">
        <v>40</v>
      </c>
      <c r="V294" s="350"/>
      <c r="W294" s="348" t="s">
        <v>75</v>
      </c>
      <c r="X294" s="349">
        <v>10</v>
      </c>
    </row>
    <row r="295" spans="1:24" ht="142.5" x14ac:dyDescent="0.2">
      <c r="A295" s="348" t="s">
        <v>1086</v>
      </c>
      <c r="B295" s="348" t="s">
        <v>1169</v>
      </c>
      <c r="C295" s="349">
        <v>0</v>
      </c>
      <c r="D295" s="349">
        <v>0</v>
      </c>
      <c r="E295" s="349">
        <v>0</v>
      </c>
      <c r="F295" s="349">
        <v>0</v>
      </c>
      <c r="G295" s="349">
        <v>0</v>
      </c>
      <c r="H295" s="349">
        <v>0</v>
      </c>
      <c r="I295" s="349">
        <v>0</v>
      </c>
      <c r="J295" s="349">
        <v>1</v>
      </c>
      <c r="K295" s="348" t="s">
        <v>37</v>
      </c>
      <c r="L295" s="348" t="s">
        <v>9</v>
      </c>
      <c r="M295" s="350"/>
      <c r="N295" s="348" t="s">
        <v>1424</v>
      </c>
      <c r="O295" s="353"/>
      <c r="P295" s="348" t="s">
        <v>1745</v>
      </c>
      <c r="Q295" s="348" t="s">
        <v>1746</v>
      </c>
      <c r="R295" s="350"/>
      <c r="S295" s="350"/>
      <c r="T295" s="348" t="s">
        <v>1747</v>
      </c>
      <c r="U295" s="348" t="s">
        <v>149</v>
      </c>
      <c r="V295" s="350"/>
      <c r="W295" s="348" t="s">
        <v>75</v>
      </c>
      <c r="X295" s="349">
        <v>10</v>
      </c>
    </row>
    <row r="296" spans="1:24" ht="114" x14ac:dyDescent="0.2">
      <c r="A296" s="348" t="s">
        <v>1087</v>
      </c>
      <c r="B296" s="348" t="s">
        <v>1583</v>
      </c>
      <c r="C296" s="349">
        <v>0</v>
      </c>
      <c r="D296" s="349">
        <v>0</v>
      </c>
      <c r="E296" s="349">
        <v>0</v>
      </c>
      <c r="F296" s="349">
        <v>0</v>
      </c>
      <c r="G296" s="349">
        <v>0</v>
      </c>
      <c r="H296" s="349">
        <v>0</v>
      </c>
      <c r="I296" s="349">
        <v>0</v>
      </c>
      <c r="J296" s="349">
        <v>1</v>
      </c>
      <c r="K296" s="350"/>
      <c r="L296" s="348" t="s">
        <v>9</v>
      </c>
      <c r="M296" s="350"/>
      <c r="N296" s="348" t="s">
        <v>1424</v>
      </c>
      <c r="O296" s="350"/>
      <c r="P296" s="348" t="s">
        <v>1748</v>
      </c>
      <c r="Q296" s="348" t="s">
        <v>1749</v>
      </c>
      <c r="R296" s="348" t="s">
        <v>1586</v>
      </c>
      <c r="S296" s="348" t="s">
        <v>1750</v>
      </c>
      <c r="T296" s="348" t="s">
        <v>1751</v>
      </c>
      <c r="U296" s="348" t="s">
        <v>149</v>
      </c>
      <c r="V296" s="350"/>
      <c r="W296" s="348" t="s">
        <v>46</v>
      </c>
      <c r="X296" s="349">
        <v>20</v>
      </c>
    </row>
    <row r="297" spans="1:24" ht="114" x14ac:dyDescent="0.2">
      <c r="A297" s="348" t="s">
        <v>787</v>
      </c>
      <c r="B297" s="348" t="s">
        <v>1170</v>
      </c>
      <c r="C297" s="349">
        <v>0</v>
      </c>
      <c r="D297" s="349">
        <v>0</v>
      </c>
      <c r="E297" s="349">
        <v>0</v>
      </c>
      <c r="F297" s="349">
        <v>0</v>
      </c>
      <c r="G297" s="349">
        <v>0</v>
      </c>
      <c r="H297" s="349">
        <v>0</v>
      </c>
      <c r="I297" s="349">
        <v>0</v>
      </c>
      <c r="J297" s="349">
        <v>1</v>
      </c>
      <c r="K297" s="350"/>
      <c r="L297" s="348" t="s">
        <v>9</v>
      </c>
      <c r="M297" s="350"/>
      <c r="N297" s="348" t="s">
        <v>1424</v>
      </c>
      <c r="O297" s="350"/>
      <c r="P297" s="348" t="s">
        <v>1752</v>
      </c>
      <c r="Q297" s="348" t="s">
        <v>1753</v>
      </c>
      <c r="R297" s="348" t="s">
        <v>1586</v>
      </c>
      <c r="S297" s="348" t="s">
        <v>1754</v>
      </c>
      <c r="T297" s="348" t="s">
        <v>1755</v>
      </c>
      <c r="U297" s="348" t="s">
        <v>40</v>
      </c>
      <c r="V297" s="350"/>
      <c r="W297" s="348" t="s">
        <v>46</v>
      </c>
      <c r="X297" s="349">
        <v>20</v>
      </c>
    </row>
    <row r="298" spans="1:24" ht="114" x14ac:dyDescent="0.2">
      <c r="A298" s="348" t="s">
        <v>789</v>
      </c>
      <c r="B298" s="348" t="s">
        <v>1171</v>
      </c>
      <c r="C298" s="349">
        <v>0</v>
      </c>
      <c r="D298" s="349">
        <v>0</v>
      </c>
      <c r="E298" s="349">
        <v>0</v>
      </c>
      <c r="F298" s="349">
        <v>0</v>
      </c>
      <c r="G298" s="349">
        <v>0</v>
      </c>
      <c r="H298" s="349">
        <v>0</v>
      </c>
      <c r="I298" s="349">
        <v>0</v>
      </c>
      <c r="J298" s="349">
        <v>1</v>
      </c>
      <c r="K298" s="348" t="s">
        <v>37</v>
      </c>
      <c r="L298" s="348" t="s">
        <v>9</v>
      </c>
      <c r="M298" s="350"/>
      <c r="N298" s="348" t="s">
        <v>1424</v>
      </c>
      <c r="O298" s="350"/>
      <c r="P298" s="348" t="s">
        <v>1756</v>
      </c>
      <c r="Q298" s="348" t="s">
        <v>1757</v>
      </c>
      <c r="R298" s="350"/>
      <c r="S298" s="348" t="s">
        <v>1758</v>
      </c>
      <c r="T298" s="348" t="s">
        <v>1759</v>
      </c>
      <c r="U298" s="348" t="s">
        <v>149</v>
      </c>
      <c r="V298" s="350"/>
      <c r="W298" s="348" t="s">
        <v>75</v>
      </c>
      <c r="X298" s="349">
        <v>10</v>
      </c>
    </row>
    <row r="299" spans="1:24" ht="114" x14ac:dyDescent="0.2">
      <c r="A299" s="348" t="s">
        <v>790</v>
      </c>
      <c r="B299" s="348" t="s">
        <v>788</v>
      </c>
      <c r="C299" s="349">
        <v>0</v>
      </c>
      <c r="D299" s="349">
        <v>0</v>
      </c>
      <c r="E299" s="349">
        <v>0</v>
      </c>
      <c r="F299" s="349">
        <v>0</v>
      </c>
      <c r="G299" s="349">
        <v>0</v>
      </c>
      <c r="H299" s="349">
        <v>0</v>
      </c>
      <c r="I299" s="349">
        <v>0</v>
      </c>
      <c r="J299" s="349">
        <v>1</v>
      </c>
      <c r="K299" s="348" t="s">
        <v>37</v>
      </c>
      <c r="L299" s="348" t="s">
        <v>9</v>
      </c>
      <c r="M299" s="350"/>
      <c r="N299" s="348" t="s">
        <v>1424</v>
      </c>
      <c r="O299" s="350"/>
      <c r="P299" s="348" t="s">
        <v>1760</v>
      </c>
      <c r="Q299" s="348" t="s">
        <v>1760</v>
      </c>
      <c r="R299" s="348" t="s">
        <v>1586</v>
      </c>
      <c r="S299" s="348" t="s">
        <v>1761</v>
      </c>
      <c r="T299" s="348" t="s">
        <v>1762</v>
      </c>
      <c r="U299" s="348" t="s">
        <v>40</v>
      </c>
      <c r="V299" s="350"/>
      <c r="W299" s="348" t="s">
        <v>41</v>
      </c>
      <c r="X299" s="349">
        <v>5</v>
      </c>
    </row>
    <row r="300" spans="1:24" ht="156.75" x14ac:dyDescent="0.2">
      <c r="A300" s="348" t="s">
        <v>792</v>
      </c>
      <c r="B300" s="348" t="s">
        <v>791</v>
      </c>
      <c r="C300" s="349">
        <v>0</v>
      </c>
      <c r="D300" s="349">
        <v>0</v>
      </c>
      <c r="E300" s="349">
        <v>0</v>
      </c>
      <c r="F300" s="349">
        <v>0</v>
      </c>
      <c r="G300" s="349">
        <v>0</v>
      </c>
      <c r="H300" s="349">
        <v>0</v>
      </c>
      <c r="I300" s="349">
        <v>0</v>
      </c>
      <c r="J300" s="349">
        <v>1</v>
      </c>
      <c r="K300" s="348" t="s">
        <v>37</v>
      </c>
      <c r="L300" s="348" t="s">
        <v>9</v>
      </c>
      <c r="M300" s="350"/>
      <c r="N300" s="348" t="s">
        <v>1424</v>
      </c>
      <c r="O300" s="348" t="s">
        <v>1763</v>
      </c>
      <c r="P300" s="348" t="s">
        <v>1763</v>
      </c>
      <c r="Q300" s="348" t="s">
        <v>1763</v>
      </c>
      <c r="R300" s="350"/>
      <c r="S300" s="348" t="s">
        <v>1764</v>
      </c>
      <c r="T300" s="350"/>
      <c r="U300" s="348" t="s">
        <v>149</v>
      </c>
      <c r="V300" s="350"/>
      <c r="W300" s="348" t="s">
        <v>41</v>
      </c>
      <c r="X300" s="349">
        <v>5</v>
      </c>
    </row>
    <row r="301" spans="1:24" ht="213.75" x14ac:dyDescent="0.2">
      <c r="A301" s="348" t="s">
        <v>793</v>
      </c>
      <c r="B301" s="348" t="s">
        <v>1172</v>
      </c>
      <c r="C301" s="349">
        <v>0</v>
      </c>
      <c r="D301" s="349">
        <v>0</v>
      </c>
      <c r="E301" s="349">
        <v>0</v>
      </c>
      <c r="F301" s="349">
        <v>0</v>
      </c>
      <c r="G301" s="349">
        <v>0</v>
      </c>
      <c r="H301" s="349">
        <v>0</v>
      </c>
      <c r="I301" s="349">
        <v>0</v>
      </c>
      <c r="J301" s="349">
        <v>1</v>
      </c>
      <c r="K301" s="348" t="s">
        <v>37</v>
      </c>
      <c r="L301" s="348" t="s">
        <v>9</v>
      </c>
      <c r="M301" s="350"/>
      <c r="N301" s="348" t="s">
        <v>1424</v>
      </c>
      <c r="O301" s="350"/>
      <c r="P301" s="348" t="s">
        <v>1709</v>
      </c>
      <c r="Q301" s="348" t="s">
        <v>1765</v>
      </c>
      <c r="R301" s="350"/>
      <c r="S301" s="352" t="s">
        <v>1766</v>
      </c>
      <c r="T301" s="350"/>
      <c r="U301" s="348" t="s">
        <v>40</v>
      </c>
      <c r="V301" s="350"/>
      <c r="W301" s="348" t="s">
        <v>41</v>
      </c>
      <c r="X301" s="349">
        <v>5</v>
      </c>
    </row>
    <row r="302" spans="1:24" ht="57" x14ac:dyDescent="0.2">
      <c r="A302" s="348" t="s">
        <v>794</v>
      </c>
      <c r="B302" s="348" t="s">
        <v>795</v>
      </c>
      <c r="C302" s="349">
        <v>0</v>
      </c>
      <c r="D302" s="349">
        <v>0</v>
      </c>
      <c r="E302" s="349">
        <v>0</v>
      </c>
      <c r="F302" s="349">
        <v>0</v>
      </c>
      <c r="G302" s="349">
        <v>0</v>
      </c>
      <c r="H302" s="349">
        <v>0</v>
      </c>
      <c r="I302" s="349">
        <v>0</v>
      </c>
      <c r="J302" s="349">
        <v>1</v>
      </c>
      <c r="K302" s="348" t="s">
        <v>37</v>
      </c>
      <c r="L302" s="348" t="s">
        <v>9</v>
      </c>
      <c r="M302" s="350"/>
      <c r="N302" s="348" t="s">
        <v>1424</v>
      </c>
      <c r="O302" s="350"/>
      <c r="P302" s="348" t="s">
        <v>1709</v>
      </c>
      <c r="Q302" s="348" t="s">
        <v>1767</v>
      </c>
      <c r="R302" s="348" t="s">
        <v>1586</v>
      </c>
      <c r="S302" s="350"/>
      <c r="T302" s="350"/>
      <c r="U302" s="348" t="s">
        <v>40</v>
      </c>
      <c r="V302" s="350"/>
      <c r="W302" s="348" t="s">
        <v>41</v>
      </c>
      <c r="X302" s="349">
        <v>5</v>
      </c>
    </row>
    <row r="303" spans="1:24" ht="57" x14ac:dyDescent="0.2">
      <c r="A303" s="226" t="s">
        <v>796</v>
      </c>
      <c r="B303" s="347" t="s">
        <v>1237</v>
      </c>
      <c r="C303" s="347">
        <v>0</v>
      </c>
      <c r="D303" s="347">
        <v>0</v>
      </c>
      <c r="E303" s="347">
        <v>0</v>
      </c>
      <c r="F303" s="347">
        <v>0</v>
      </c>
      <c r="G303" s="347">
        <v>0</v>
      </c>
      <c r="H303" s="347">
        <v>0</v>
      </c>
      <c r="I303" s="347">
        <v>1</v>
      </c>
      <c r="J303" s="347">
        <v>0</v>
      </c>
      <c r="K303" s="347" t="s">
        <v>22</v>
      </c>
      <c r="L303" s="347" t="s">
        <v>1040</v>
      </c>
      <c r="M303" s="347" t="s">
        <v>1011</v>
      </c>
      <c r="N303" s="347" t="s">
        <v>1424</v>
      </c>
      <c r="O303" s="347" t="s">
        <v>797</v>
      </c>
      <c r="P303" s="347" t="s">
        <v>1011</v>
      </c>
      <c r="Q303" s="347" t="s">
        <v>1011</v>
      </c>
      <c r="R303" s="347"/>
      <c r="S303" s="347"/>
      <c r="T303" s="347"/>
      <c r="U303" s="347" t="s">
        <v>1040</v>
      </c>
      <c r="V303" s="347" t="s">
        <v>1011</v>
      </c>
      <c r="W303" s="347"/>
      <c r="X303" s="347"/>
    </row>
    <row r="304" spans="1:24" ht="57" x14ac:dyDescent="0.2">
      <c r="A304" s="226" t="s">
        <v>798</v>
      </c>
      <c r="B304" s="347" t="s">
        <v>1238</v>
      </c>
      <c r="C304" s="347">
        <v>0</v>
      </c>
      <c r="D304" s="347">
        <v>0</v>
      </c>
      <c r="E304" s="347">
        <v>0</v>
      </c>
      <c r="F304" s="347">
        <v>0</v>
      </c>
      <c r="G304" s="347">
        <v>0</v>
      </c>
      <c r="H304" s="347">
        <v>0</v>
      </c>
      <c r="I304" s="347">
        <v>1</v>
      </c>
      <c r="J304" s="347">
        <v>0</v>
      </c>
      <c r="K304" s="347" t="s">
        <v>22</v>
      </c>
      <c r="L304" s="347" t="s">
        <v>1040</v>
      </c>
      <c r="M304" s="347" t="s">
        <v>1011</v>
      </c>
      <c r="N304" s="347" t="s">
        <v>1424</v>
      </c>
      <c r="O304" s="347" t="s">
        <v>799</v>
      </c>
      <c r="P304" s="347" t="s">
        <v>1011</v>
      </c>
      <c r="Q304" s="347" t="s">
        <v>1011</v>
      </c>
      <c r="R304" s="347"/>
      <c r="S304" s="347"/>
      <c r="T304" s="347"/>
      <c r="U304" s="347" t="s">
        <v>1040</v>
      </c>
      <c r="V304" s="347" t="s">
        <v>1011</v>
      </c>
      <c r="W304" s="347"/>
      <c r="X304" s="347"/>
    </row>
    <row r="305" spans="1:24" ht="57" x14ac:dyDescent="0.2">
      <c r="A305" s="226" t="s">
        <v>800</v>
      </c>
      <c r="B305" s="347" t="s">
        <v>1489</v>
      </c>
      <c r="C305" s="347">
        <v>0</v>
      </c>
      <c r="D305" s="347">
        <v>0</v>
      </c>
      <c r="E305" s="347">
        <v>0</v>
      </c>
      <c r="F305" s="347">
        <v>0</v>
      </c>
      <c r="G305" s="347">
        <v>0</v>
      </c>
      <c r="H305" s="347">
        <v>0</v>
      </c>
      <c r="I305" s="347">
        <v>1</v>
      </c>
      <c r="J305" s="347">
        <v>0</v>
      </c>
      <c r="K305" s="347"/>
      <c r="L305" s="347" t="s">
        <v>8</v>
      </c>
      <c r="M305" s="347" t="s">
        <v>1011</v>
      </c>
      <c r="N305" s="347" t="s">
        <v>1424</v>
      </c>
      <c r="O305" s="347" t="s">
        <v>803</v>
      </c>
      <c r="P305" s="347" t="s">
        <v>1011</v>
      </c>
      <c r="Q305" s="347" t="s">
        <v>1011</v>
      </c>
      <c r="R305" s="347"/>
      <c r="S305" s="347"/>
      <c r="T305" s="347"/>
      <c r="U305" s="347" t="s">
        <v>40</v>
      </c>
      <c r="V305" s="347" t="s">
        <v>1011</v>
      </c>
      <c r="W305" s="347" t="s">
        <v>46</v>
      </c>
      <c r="X305" s="347">
        <f t="shared" ref="X305:X317" si="4">IF($W305="Critical Importance",20,IF($W305="Minor Importance",5,10))</f>
        <v>20</v>
      </c>
    </row>
    <row r="306" spans="1:24" ht="57" x14ac:dyDescent="0.2">
      <c r="A306" s="226" t="s">
        <v>802</v>
      </c>
      <c r="B306" s="347" t="s">
        <v>1239</v>
      </c>
      <c r="C306" s="347">
        <v>0</v>
      </c>
      <c r="D306" s="347">
        <v>0</v>
      </c>
      <c r="E306" s="347">
        <v>0</v>
      </c>
      <c r="F306" s="347">
        <v>0</v>
      </c>
      <c r="G306" s="347">
        <v>0</v>
      </c>
      <c r="H306" s="347">
        <v>0</v>
      </c>
      <c r="I306" s="347">
        <v>1</v>
      </c>
      <c r="J306" s="347">
        <v>0</v>
      </c>
      <c r="K306" s="347"/>
      <c r="L306" s="347" t="s">
        <v>8</v>
      </c>
      <c r="M306" s="347" t="s">
        <v>1011</v>
      </c>
      <c r="N306" s="347" t="s">
        <v>1424</v>
      </c>
      <c r="O306" s="347" t="s">
        <v>1173</v>
      </c>
      <c r="P306" s="347" t="s">
        <v>1011</v>
      </c>
      <c r="Q306" s="347" t="s">
        <v>1011</v>
      </c>
      <c r="R306" s="347"/>
      <c r="S306" s="347" t="s">
        <v>1011</v>
      </c>
      <c r="T306" s="347" t="s">
        <v>1011</v>
      </c>
      <c r="U306" s="347" t="s">
        <v>40</v>
      </c>
      <c r="V306" s="347" t="s">
        <v>1011</v>
      </c>
      <c r="W306" s="347" t="s">
        <v>46</v>
      </c>
      <c r="X306" s="347">
        <f t="shared" si="4"/>
        <v>20</v>
      </c>
    </row>
    <row r="307" spans="1:24" ht="57" x14ac:dyDescent="0.2">
      <c r="A307" s="226" t="s">
        <v>804</v>
      </c>
      <c r="B307" s="347" t="s">
        <v>1058</v>
      </c>
      <c r="C307" s="347">
        <v>0</v>
      </c>
      <c r="D307" s="347">
        <v>0</v>
      </c>
      <c r="E307" s="347">
        <v>0</v>
      </c>
      <c r="F307" s="347">
        <v>0</v>
      </c>
      <c r="G307" s="347">
        <v>0</v>
      </c>
      <c r="H307" s="347">
        <v>0</v>
      </c>
      <c r="I307" s="347">
        <v>1</v>
      </c>
      <c r="J307" s="347">
        <v>0</v>
      </c>
      <c r="K307" s="347"/>
      <c r="L307" s="347" t="s">
        <v>8</v>
      </c>
      <c r="M307" s="347" t="s">
        <v>1011</v>
      </c>
      <c r="N307" s="347" t="s">
        <v>1424</v>
      </c>
      <c r="O307" s="347" t="s">
        <v>808</v>
      </c>
      <c r="P307" s="347" t="s">
        <v>1011</v>
      </c>
      <c r="Q307" s="347" t="s">
        <v>1011</v>
      </c>
      <c r="R307" s="347"/>
      <c r="S307" s="347" t="s">
        <v>1011</v>
      </c>
      <c r="T307" s="347" t="s">
        <v>1011</v>
      </c>
      <c r="U307" s="347" t="s">
        <v>40</v>
      </c>
      <c r="V307" s="347" t="s">
        <v>1011</v>
      </c>
      <c r="W307" s="347" t="s">
        <v>46</v>
      </c>
      <c r="X307" s="347">
        <f t="shared" si="4"/>
        <v>20</v>
      </c>
    </row>
    <row r="308" spans="1:24" ht="57" x14ac:dyDescent="0.2">
      <c r="A308" s="226" t="s">
        <v>805</v>
      </c>
      <c r="B308" s="347" t="s">
        <v>1240</v>
      </c>
      <c r="C308" s="347">
        <v>0</v>
      </c>
      <c r="D308" s="347">
        <v>0</v>
      </c>
      <c r="E308" s="347">
        <v>0</v>
      </c>
      <c r="F308" s="347">
        <v>0</v>
      </c>
      <c r="G308" s="347">
        <v>0</v>
      </c>
      <c r="H308" s="347">
        <v>0</v>
      </c>
      <c r="I308" s="347">
        <v>1</v>
      </c>
      <c r="J308" s="347">
        <v>0</v>
      </c>
      <c r="K308" s="347"/>
      <c r="L308" s="347" t="s">
        <v>1040</v>
      </c>
      <c r="M308" s="347" t="s">
        <v>1011</v>
      </c>
      <c r="N308" s="347" t="s">
        <v>1424</v>
      </c>
      <c r="O308" s="347" t="s">
        <v>801</v>
      </c>
      <c r="P308" s="347" t="s">
        <v>1011</v>
      </c>
      <c r="Q308" s="347" t="s">
        <v>1011</v>
      </c>
      <c r="R308" s="347"/>
      <c r="S308" s="347" t="s">
        <v>1011</v>
      </c>
      <c r="T308" s="347" t="s">
        <v>1011</v>
      </c>
      <c r="U308" s="347" t="s">
        <v>1040</v>
      </c>
      <c r="V308" s="347" t="s">
        <v>1011</v>
      </c>
      <c r="W308" s="347"/>
      <c r="X308" s="347"/>
    </row>
    <row r="309" spans="1:24" ht="85.5" x14ac:dyDescent="0.2">
      <c r="A309" s="226" t="s">
        <v>807</v>
      </c>
      <c r="B309" s="347" t="s">
        <v>1241</v>
      </c>
      <c r="C309" s="347">
        <v>0</v>
      </c>
      <c r="D309" s="347">
        <v>0</v>
      </c>
      <c r="E309" s="347">
        <v>0</v>
      </c>
      <c r="F309" s="347">
        <v>0</v>
      </c>
      <c r="G309" s="347">
        <v>0</v>
      </c>
      <c r="H309" s="347">
        <v>0</v>
      </c>
      <c r="I309" s="347">
        <v>1</v>
      </c>
      <c r="J309" s="347">
        <v>0</v>
      </c>
      <c r="K309" s="347"/>
      <c r="L309" s="347" t="s">
        <v>8</v>
      </c>
      <c r="M309" s="347" t="s">
        <v>1011</v>
      </c>
      <c r="N309" s="347" t="s">
        <v>1424</v>
      </c>
      <c r="O309" s="347" t="s">
        <v>806</v>
      </c>
      <c r="P309" s="347" t="s">
        <v>1011</v>
      </c>
      <c r="Q309" s="347" t="s">
        <v>1011</v>
      </c>
      <c r="R309" s="347"/>
      <c r="S309" s="347" t="s">
        <v>1011</v>
      </c>
      <c r="T309" s="347" t="s">
        <v>1011</v>
      </c>
      <c r="U309" s="347" t="s">
        <v>40</v>
      </c>
      <c r="V309" s="347" t="s">
        <v>1011</v>
      </c>
      <c r="W309" s="347" t="s">
        <v>75</v>
      </c>
      <c r="X309" s="347">
        <f t="shared" si="4"/>
        <v>10</v>
      </c>
    </row>
    <row r="310" spans="1:24" ht="71.25" x14ac:dyDescent="0.2">
      <c r="A310" s="226" t="s">
        <v>809</v>
      </c>
      <c r="B310" s="347" t="s">
        <v>1059</v>
      </c>
      <c r="C310" s="347">
        <v>0</v>
      </c>
      <c r="D310" s="347">
        <v>0</v>
      </c>
      <c r="E310" s="347">
        <v>0</v>
      </c>
      <c r="F310" s="347">
        <v>0</v>
      </c>
      <c r="G310" s="347">
        <v>0</v>
      </c>
      <c r="H310" s="347">
        <v>0</v>
      </c>
      <c r="I310" s="347">
        <v>1</v>
      </c>
      <c r="J310" s="347">
        <v>0</v>
      </c>
      <c r="K310" s="347"/>
      <c r="L310" s="347" t="s">
        <v>8</v>
      </c>
      <c r="M310" s="347" t="s">
        <v>1011</v>
      </c>
      <c r="N310" s="347" t="s">
        <v>1424</v>
      </c>
      <c r="O310" s="347" t="s">
        <v>1174</v>
      </c>
      <c r="P310" s="347" t="s">
        <v>1011</v>
      </c>
      <c r="Q310" s="347" t="s">
        <v>1011</v>
      </c>
      <c r="R310" s="347"/>
      <c r="S310" s="347" t="s">
        <v>1503</v>
      </c>
      <c r="T310" s="347" t="s">
        <v>1503</v>
      </c>
      <c r="U310" s="347" t="s">
        <v>40</v>
      </c>
      <c r="V310" s="347" t="s">
        <v>1011</v>
      </c>
      <c r="W310" s="347" t="s">
        <v>46</v>
      </c>
      <c r="X310" s="347">
        <f t="shared" si="4"/>
        <v>20</v>
      </c>
    </row>
    <row r="311" spans="1:24" ht="57" x14ac:dyDescent="0.2">
      <c r="A311" s="226" t="s">
        <v>810</v>
      </c>
      <c r="B311" s="347" t="s">
        <v>1060</v>
      </c>
      <c r="C311" s="347">
        <v>0</v>
      </c>
      <c r="D311" s="347">
        <v>0</v>
      </c>
      <c r="E311" s="347">
        <v>0</v>
      </c>
      <c r="F311" s="347">
        <v>0</v>
      </c>
      <c r="G311" s="347">
        <v>0</v>
      </c>
      <c r="H311" s="347">
        <v>0</v>
      </c>
      <c r="I311" s="347">
        <v>1</v>
      </c>
      <c r="J311" s="347">
        <v>0</v>
      </c>
      <c r="K311" s="347"/>
      <c r="L311" s="347" t="s">
        <v>8</v>
      </c>
      <c r="M311" s="347" t="s">
        <v>1011</v>
      </c>
      <c r="N311" s="347" t="s">
        <v>1424</v>
      </c>
      <c r="O311" s="347" t="s">
        <v>1175</v>
      </c>
      <c r="P311" s="347" t="s">
        <v>1011</v>
      </c>
      <c r="Q311" s="347" t="s">
        <v>1011</v>
      </c>
      <c r="R311" s="347"/>
      <c r="S311" s="347" t="s">
        <v>1011</v>
      </c>
      <c r="T311" s="347" t="s">
        <v>1011</v>
      </c>
      <c r="U311" s="347" t="s">
        <v>40</v>
      </c>
      <c r="V311" s="347" t="s">
        <v>1011</v>
      </c>
      <c r="W311" s="347" t="s">
        <v>46</v>
      </c>
      <c r="X311" s="347">
        <f t="shared" si="4"/>
        <v>20</v>
      </c>
    </row>
    <row r="312" spans="1:24" ht="128.25" x14ac:dyDescent="0.2">
      <c r="A312" s="226" t="s">
        <v>811</v>
      </c>
      <c r="B312" s="347" t="s">
        <v>1490</v>
      </c>
      <c r="C312" s="347">
        <v>0</v>
      </c>
      <c r="D312" s="347">
        <v>0</v>
      </c>
      <c r="E312" s="347">
        <v>0</v>
      </c>
      <c r="F312" s="347">
        <v>0</v>
      </c>
      <c r="G312" s="347">
        <v>0</v>
      </c>
      <c r="H312" s="347">
        <v>0</v>
      </c>
      <c r="I312" s="347">
        <v>1</v>
      </c>
      <c r="J312" s="347">
        <v>0</v>
      </c>
      <c r="K312" s="347"/>
      <c r="L312" s="347" t="s">
        <v>8</v>
      </c>
      <c r="M312" s="347" t="s">
        <v>1011</v>
      </c>
      <c r="N312" s="347" t="s">
        <v>1424</v>
      </c>
      <c r="O312" s="347" t="s">
        <v>1242</v>
      </c>
      <c r="P312" s="347" t="s">
        <v>1011</v>
      </c>
      <c r="Q312" s="347" t="s">
        <v>1011</v>
      </c>
      <c r="R312" s="347"/>
      <c r="S312" s="347" t="s">
        <v>1011</v>
      </c>
      <c r="T312" s="347" t="s">
        <v>1011</v>
      </c>
      <c r="U312" s="347" t="s">
        <v>40</v>
      </c>
      <c r="V312" s="347" t="s">
        <v>1011</v>
      </c>
      <c r="W312" s="347" t="s">
        <v>46</v>
      </c>
      <c r="X312" s="347">
        <f t="shared" si="4"/>
        <v>20</v>
      </c>
    </row>
    <row r="313" spans="1:24" ht="128.25" x14ac:dyDescent="0.2">
      <c r="A313" s="226" t="s">
        <v>812</v>
      </c>
      <c r="B313" s="347" t="s">
        <v>1491</v>
      </c>
      <c r="C313" s="347">
        <v>0</v>
      </c>
      <c r="D313" s="347">
        <v>0</v>
      </c>
      <c r="E313" s="347">
        <v>0</v>
      </c>
      <c r="F313" s="347">
        <v>0</v>
      </c>
      <c r="G313" s="347">
        <v>0</v>
      </c>
      <c r="H313" s="347">
        <v>0</v>
      </c>
      <c r="I313" s="347">
        <v>1</v>
      </c>
      <c r="J313" s="347">
        <v>0</v>
      </c>
      <c r="K313" s="347"/>
      <c r="L313" s="347" t="s">
        <v>8</v>
      </c>
      <c r="M313" s="347" t="s">
        <v>1011</v>
      </c>
      <c r="N313" s="347" t="s">
        <v>1424</v>
      </c>
      <c r="O313" s="347" t="s">
        <v>1243</v>
      </c>
      <c r="P313" s="347" t="s">
        <v>1011</v>
      </c>
      <c r="Q313" s="347" t="s">
        <v>1011</v>
      </c>
      <c r="R313" s="347" t="s">
        <v>1586</v>
      </c>
      <c r="S313" s="347" t="s">
        <v>1011</v>
      </c>
      <c r="T313" s="347" t="s">
        <v>1011</v>
      </c>
      <c r="U313" s="347" t="s">
        <v>40</v>
      </c>
      <c r="V313" s="347" t="s">
        <v>1011</v>
      </c>
      <c r="W313" s="347" t="s">
        <v>46</v>
      </c>
      <c r="X313" s="347">
        <f t="shared" si="4"/>
        <v>20</v>
      </c>
    </row>
    <row r="314" spans="1:24" ht="57" x14ac:dyDescent="0.2">
      <c r="A314" s="226" t="s">
        <v>813</v>
      </c>
      <c r="B314" s="347" t="s">
        <v>1492</v>
      </c>
      <c r="C314" s="347">
        <v>0</v>
      </c>
      <c r="D314" s="347">
        <v>0</v>
      </c>
      <c r="E314" s="347">
        <v>0</v>
      </c>
      <c r="F314" s="347">
        <v>0</v>
      </c>
      <c r="G314" s="347">
        <v>0</v>
      </c>
      <c r="H314" s="347">
        <v>0</v>
      </c>
      <c r="I314" s="347">
        <v>1</v>
      </c>
      <c r="J314" s="347">
        <v>0</v>
      </c>
      <c r="K314" s="347"/>
      <c r="L314" s="347" t="s">
        <v>8</v>
      </c>
      <c r="M314" s="347" t="s">
        <v>1011</v>
      </c>
      <c r="N314" s="347" t="s">
        <v>1424</v>
      </c>
      <c r="O314" s="347" t="s">
        <v>1176</v>
      </c>
      <c r="P314" s="347" t="s">
        <v>1011</v>
      </c>
      <c r="Q314" s="347" t="s">
        <v>1011</v>
      </c>
      <c r="R314" s="347"/>
      <c r="S314" s="347" t="s">
        <v>1011</v>
      </c>
      <c r="T314" s="347" t="s">
        <v>1011</v>
      </c>
      <c r="U314" s="347" t="s">
        <v>40</v>
      </c>
      <c r="V314" s="347" t="s">
        <v>1011</v>
      </c>
      <c r="W314" s="347" t="s">
        <v>41</v>
      </c>
      <c r="X314" s="347">
        <f t="shared" si="4"/>
        <v>5</v>
      </c>
    </row>
    <row r="315" spans="1:24" ht="57" x14ac:dyDescent="0.2">
      <c r="A315" s="226" t="s">
        <v>814</v>
      </c>
      <c r="B315" s="347" t="s">
        <v>1244</v>
      </c>
      <c r="C315" s="347">
        <v>0</v>
      </c>
      <c r="D315" s="347">
        <v>0</v>
      </c>
      <c r="E315" s="347">
        <v>0</v>
      </c>
      <c r="F315" s="347">
        <v>0</v>
      </c>
      <c r="G315" s="347">
        <v>0</v>
      </c>
      <c r="H315" s="347">
        <v>0</v>
      </c>
      <c r="I315" s="347">
        <v>1</v>
      </c>
      <c r="J315" s="347">
        <v>0</v>
      </c>
      <c r="K315" s="347"/>
      <c r="L315" s="347" t="s">
        <v>8</v>
      </c>
      <c r="M315" s="347" t="s">
        <v>1011</v>
      </c>
      <c r="N315" s="347" t="s">
        <v>1424</v>
      </c>
      <c r="O315" s="347" t="s">
        <v>1245</v>
      </c>
      <c r="P315" s="347" t="s">
        <v>1011</v>
      </c>
      <c r="Q315" s="347" t="s">
        <v>1011</v>
      </c>
      <c r="R315" s="347"/>
      <c r="S315" s="347" t="s">
        <v>1503</v>
      </c>
      <c r="T315" s="347" t="s">
        <v>1503</v>
      </c>
      <c r="U315" s="347" t="s">
        <v>40</v>
      </c>
      <c r="V315" s="347" t="s">
        <v>1011</v>
      </c>
      <c r="W315" s="347" t="s">
        <v>46</v>
      </c>
      <c r="X315" s="347">
        <f t="shared" si="4"/>
        <v>20</v>
      </c>
    </row>
    <row r="316" spans="1:24" ht="57" x14ac:dyDescent="0.2">
      <c r="A316" s="226" t="s">
        <v>815</v>
      </c>
      <c r="B316" s="347" t="s">
        <v>1246</v>
      </c>
      <c r="C316" s="347">
        <v>0</v>
      </c>
      <c r="D316" s="347">
        <v>0</v>
      </c>
      <c r="E316" s="347">
        <v>0</v>
      </c>
      <c r="F316" s="347">
        <v>0</v>
      </c>
      <c r="G316" s="347">
        <v>0</v>
      </c>
      <c r="H316" s="347">
        <v>0</v>
      </c>
      <c r="I316" s="347">
        <v>1</v>
      </c>
      <c r="J316" s="347">
        <v>0</v>
      </c>
      <c r="K316" s="347"/>
      <c r="L316" s="347" t="s">
        <v>8</v>
      </c>
      <c r="M316" s="347" t="s">
        <v>1011</v>
      </c>
      <c r="N316" s="347" t="s">
        <v>1424</v>
      </c>
      <c r="O316" s="347" t="s">
        <v>1247</v>
      </c>
      <c r="P316" s="347" t="s">
        <v>1011</v>
      </c>
      <c r="Q316" s="347" t="s">
        <v>1011</v>
      </c>
      <c r="R316" s="347"/>
      <c r="S316" s="347" t="s">
        <v>1011</v>
      </c>
      <c r="T316" s="347" t="s">
        <v>1011</v>
      </c>
      <c r="U316" s="347" t="s">
        <v>149</v>
      </c>
      <c r="V316" s="347" t="s">
        <v>1011</v>
      </c>
      <c r="W316" s="347" t="s">
        <v>46</v>
      </c>
      <c r="X316" s="347">
        <f t="shared" si="4"/>
        <v>20</v>
      </c>
    </row>
    <row r="317" spans="1:24" ht="57" x14ac:dyDescent="0.2">
      <c r="A317" s="226" t="s">
        <v>816</v>
      </c>
      <c r="B317" s="347" t="s">
        <v>1248</v>
      </c>
      <c r="C317" s="347">
        <v>0</v>
      </c>
      <c r="D317" s="347">
        <v>0</v>
      </c>
      <c r="E317" s="347">
        <v>0</v>
      </c>
      <c r="F317" s="347">
        <v>0</v>
      </c>
      <c r="G317" s="347">
        <v>0</v>
      </c>
      <c r="H317" s="347">
        <v>0</v>
      </c>
      <c r="I317" s="347">
        <v>1</v>
      </c>
      <c r="J317" s="347">
        <v>0</v>
      </c>
      <c r="K317" s="347"/>
      <c r="L317" s="347" t="s">
        <v>8</v>
      </c>
      <c r="M317" s="347" t="s">
        <v>1011</v>
      </c>
      <c r="N317" s="347" t="s">
        <v>1424</v>
      </c>
      <c r="O317" s="347" t="s">
        <v>820</v>
      </c>
      <c r="P317" s="347" t="s">
        <v>1011</v>
      </c>
      <c r="Q317" s="347" t="s">
        <v>1011</v>
      </c>
      <c r="R317" s="347"/>
      <c r="S317" s="347" t="s">
        <v>1011</v>
      </c>
      <c r="T317" s="347" t="s">
        <v>1011</v>
      </c>
      <c r="U317" s="347" t="s">
        <v>40</v>
      </c>
      <c r="V317" s="347" t="s">
        <v>1011</v>
      </c>
      <c r="W317" s="347" t="s">
        <v>46</v>
      </c>
      <c r="X317" s="347">
        <f t="shared" si="4"/>
        <v>20</v>
      </c>
    </row>
    <row r="318" spans="1:24" ht="71.25" x14ac:dyDescent="0.2">
      <c r="A318" s="226" t="s">
        <v>818</v>
      </c>
      <c r="B318" s="347" t="s">
        <v>1177</v>
      </c>
      <c r="C318" s="347">
        <v>0</v>
      </c>
      <c r="D318" s="347">
        <v>0</v>
      </c>
      <c r="E318" s="347">
        <v>0</v>
      </c>
      <c r="F318" s="347">
        <v>0</v>
      </c>
      <c r="G318" s="347">
        <v>0</v>
      </c>
      <c r="H318" s="347">
        <v>0</v>
      </c>
      <c r="I318" s="347">
        <v>1</v>
      </c>
      <c r="J318" s="347">
        <v>0</v>
      </c>
      <c r="K318" s="347"/>
      <c r="L318" s="347" t="s">
        <v>1040</v>
      </c>
      <c r="M318" s="347" t="s">
        <v>1011</v>
      </c>
      <c r="N318" s="347" t="s">
        <v>1424</v>
      </c>
      <c r="O318" s="347" t="s">
        <v>1493</v>
      </c>
      <c r="P318" s="347" t="s">
        <v>1011</v>
      </c>
      <c r="Q318" s="347" t="s">
        <v>1011</v>
      </c>
      <c r="R318" s="347"/>
      <c r="S318" s="347" t="s">
        <v>1011</v>
      </c>
      <c r="T318" s="347" t="s">
        <v>1011</v>
      </c>
      <c r="U318" s="347" t="s">
        <v>1040</v>
      </c>
      <c r="V318" s="347" t="s">
        <v>1011</v>
      </c>
      <c r="W318" s="347"/>
      <c r="X318" s="347"/>
    </row>
    <row r="319" spans="1:24" ht="71.25" x14ac:dyDescent="0.2">
      <c r="A319" s="226" t="s">
        <v>819</v>
      </c>
      <c r="B319" s="347" t="s">
        <v>1178</v>
      </c>
      <c r="C319" s="347">
        <v>0</v>
      </c>
      <c r="D319" s="347">
        <v>0</v>
      </c>
      <c r="E319" s="347">
        <v>0</v>
      </c>
      <c r="F319" s="347">
        <v>0</v>
      </c>
      <c r="G319" s="347">
        <v>0</v>
      </c>
      <c r="H319" s="347">
        <v>0</v>
      </c>
      <c r="I319" s="347">
        <v>1</v>
      </c>
      <c r="J319" s="347">
        <v>0</v>
      </c>
      <c r="K319" s="347"/>
      <c r="L319" s="347" t="s">
        <v>8</v>
      </c>
      <c r="M319" s="347" t="s">
        <v>1011</v>
      </c>
      <c r="N319" s="347" t="s">
        <v>1424</v>
      </c>
      <c r="O319" s="347" t="s">
        <v>817</v>
      </c>
      <c r="P319" s="347" t="s">
        <v>1011</v>
      </c>
      <c r="Q319" s="347" t="s">
        <v>1011</v>
      </c>
      <c r="R319" s="347"/>
      <c r="S319" s="347" t="s">
        <v>1011</v>
      </c>
      <c r="T319" s="347" t="s">
        <v>1011</v>
      </c>
      <c r="U319" s="347" t="s">
        <v>40</v>
      </c>
      <c r="V319" s="347" t="s">
        <v>1011</v>
      </c>
      <c r="W319" s="347" t="s">
        <v>75</v>
      </c>
      <c r="X319" s="347">
        <f t="shared" ref="X319:X334" si="5">IF($W319="Critical Importance",20,IF($W319="Minor Importance",5,10))</f>
        <v>10</v>
      </c>
    </row>
    <row r="320" spans="1:24" ht="71.25" x14ac:dyDescent="0.2">
      <c r="A320" s="226" t="s">
        <v>821</v>
      </c>
      <c r="B320" s="347" t="s">
        <v>1530</v>
      </c>
      <c r="C320" s="347">
        <v>0</v>
      </c>
      <c r="D320" s="347">
        <v>0</v>
      </c>
      <c r="E320" s="347">
        <v>0</v>
      </c>
      <c r="F320" s="347">
        <v>0</v>
      </c>
      <c r="G320" s="347">
        <v>0</v>
      </c>
      <c r="H320" s="347">
        <v>0</v>
      </c>
      <c r="I320" s="347">
        <v>1</v>
      </c>
      <c r="J320" s="347">
        <v>0</v>
      </c>
      <c r="K320" s="347"/>
      <c r="L320" s="347" t="s">
        <v>8</v>
      </c>
      <c r="M320" s="347" t="s">
        <v>1011</v>
      </c>
      <c r="N320" s="347" t="s">
        <v>1425</v>
      </c>
      <c r="O320" s="347" t="s">
        <v>824</v>
      </c>
      <c r="P320" s="347" t="s">
        <v>1011</v>
      </c>
      <c r="Q320" s="347" t="s">
        <v>1011</v>
      </c>
      <c r="R320" s="347"/>
      <c r="S320" s="347" t="s">
        <v>1503</v>
      </c>
      <c r="T320" s="347" t="s">
        <v>1503</v>
      </c>
      <c r="U320" s="347" t="s">
        <v>40</v>
      </c>
      <c r="V320" s="347" t="s">
        <v>1011</v>
      </c>
      <c r="W320" s="347" t="s">
        <v>46</v>
      </c>
      <c r="X320" s="347">
        <f t="shared" si="5"/>
        <v>20</v>
      </c>
    </row>
    <row r="321" spans="1:24" ht="71.25" x14ac:dyDescent="0.2">
      <c r="A321" s="226" t="s">
        <v>823</v>
      </c>
      <c r="B321" s="347" t="s">
        <v>1061</v>
      </c>
      <c r="C321" s="347">
        <v>0</v>
      </c>
      <c r="D321" s="347">
        <v>0</v>
      </c>
      <c r="E321" s="347">
        <v>0</v>
      </c>
      <c r="F321" s="347">
        <v>0</v>
      </c>
      <c r="G321" s="347">
        <v>0</v>
      </c>
      <c r="H321" s="347">
        <v>0</v>
      </c>
      <c r="I321" s="347">
        <v>1</v>
      </c>
      <c r="J321" s="347">
        <v>0</v>
      </c>
      <c r="K321" s="347"/>
      <c r="L321" s="347" t="s">
        <v>8</v>
      </c>
      <c r="M321" s="347" t="s">
        <v>1011</v>
      </c>
      <c r="N321" s="347" t="s">
        <v>1425</v>
      </c>
      <c r="O321" s="347" t="s">
        <v>839</v>
      </c>
      <c r="P321" s="347" t="s">
        <v>1011</v>
      </c>
      <c r="Q321" s="347" t="s">
        <v>1011</v>
      </c>
      <c r="R321" s="347"/>
      <c r="S321" s="347" t="s">
        <v>1011</v>
      </c>
      <c r="T321" s="347" t="s">
        <v>1011</v>
      </c>
      <c r="U321" s="347" t="s">
        <v>40</v>
      </c>
      <c r="V321" s="347" t="s">
        <v>1011</v>
      </c>
      <c r="W321" s="347" t="s">
        <v>46</v>
      </c>
      <c r="X321" s="347">
        <f t="shared" si="5"/>
        <v>20</v>
      </c>
    </row>
    <row r="322" spans="1:24" ht="144.75" customHeight="1" x14ac:dyDescent="0.2">
      <c r="A322" s="226" t="s">
        <v>825</v>
      </c>
      <c r="B322" s="347" t="s">
        <v>1249</v>
      </c>
      <c r="C322" s="347">
        <v>0</v>
      </c>
      <c r="D322" s="347">
        <v>0</v>
      </c>
      <c r="E322" s="347">
        <v>0</v>
      </c>
      <c r="F322" s="347">
        <v>0</v>
      </c>
      <c r="G322" s="347">
        <v>0</v>
      </c>
      <c r="H322" s="347">
        <v>0</v>
      </c>
      <c r="I322" s="347">
        <v>1</v>
      </c>
      <c r="J322" s="347">
        <v>0</v>
      </c>
      <c r="K322" s="347"/>
      <c r="L322" s="347" t="s">
        <v>8</v>
      </c>
      <c r="M322" s="347" t="s">
        <v>1011</v>
      </c>
      <c r="N322" s="347" t="s">
        <v>1425</v>
      </c>
      <c r="O322" s="347" t="s">
        <v>822</v>
      </c>
      <c r="P322" s="347" t="s">
        <v>1011</v>
      </c>
      <c r="Q322" s="347" t="s">
        <v>1011</v>
      </c>
      <c r="R322" s="347"/>
      <c r="S322" s="347" t="s">
        <v>1011</v>
      </c>
      <c r="T322" s="347" t="s">
        <v>1011</v>
      </c>
      <c r="U322" s="347" t="s">
        <v>40</v>
      </c>
      <c r="V322" s="347" t="s">
        <v>1011</v>
      </c>
      <c r="W322" s="347" t="s">
        <v>75</v>
      </c>
      <c r="X322" s="347">
        <f t="shared" si="5"/>
        <v>10</v>
      </c>
    </row>
    <row r="323" spans="1:24" ht="90" customHeight="1" x14ac:dyDescent="0.2">
      <c r="A323" s="226" t="s">
        <v>828</v>
      </c>
      <c r="B323" s="347" t="s">
        <v>829</v>
      </c>
      <c r="C323" s="347">
        <v>0</v>
      </c>
      <c r="D323" s="347">
        <v>0</v>
      </c>
      <c r="E323" s="347">
        <v>0</v>
      </c>
      <c r="F323" s="347">
        <v>0</v>
      </c>
      <c r="G323" s="347">
        <v>0</v>
      </c>
      <c r="H323" s="347">
        <v>0</v>
      </c>
      <c r="I323" s="347">
        <v>1</v>
      </c>
      <c r="J323" s="347">
        <v>0</v>
      </c>
      <c r="K323" s="347"/>
      <c r="L323" s="347" t="s">
        <v>8</v>
      </c>
      <c r="M323" s="347" t="s">
        <v>1011</v>
      </c>
      <c r="N323" s="347" t="s">
        <v>1425</v>
      </c>
      <c r="O323" s="347" t="s">
        <v>830</v>
      </c>
      <c r="P323" s="347" t="s">
        <v>1011</v>
      </c>
      <c r="Q323" s="347" t="s">
        <v>1011</v>
      </c>
      <c r="R323" s="347"/>
      <c r="S323" s="347" t="s">
        <v>1011</v>
      </c>
      <c r="T323" s="347" t="s">
        <v>1011</v>
      </c>
      <c r="U323" s="347" t="s">
        <v>40</v>
      </c>
      <c r="V323" s="347" t="s">
        <v>1011</v>
      </c>
      <c r="W323" s="347" t="s">
        <v>75</v>
      </c>
      <c r="X323" s="347">
        <f t="shared" si="5"/>
        <v>10</v>
      </c>
    </row>
    <row r="324" spans="1:24" ht="90" customHeight="1" x14ac:dyDescent="0.2">
      <c r="A324" s="226" t="s">
        <v>831</v>
      </c>
      <c r="B324" s="347" t="s">
        <v>826</v>
      </c>
      <c r="C324" s="347">
        <v>0</v>
      </c>
      <c r="D324" s="347">
        <v>0</v>
      </c>
      <c r="E324" s="347">
        <v>0</v>
      </c>
      <c r="F324" s="347">
        <v>0</v>
      </c>
      <c r="G324" s="347">
        <v>0</v>
      </c>
      <c r="H324" s="347">
        <v>0</v>
      </c>
      <c r="I324" s="347">
        <v>1</v>
      </c>
      <c r="J324" s="347">
        <v>0</v>
      </c>
      <c r="K324" s="347"/>
      <c r="L324" s="347" t="s">
        <v>8</v>
      </c>
      <c r="M324" s="347" t="s">
        <v>1011</v>
      </c>
      <c r="N324" s="347" t="s">
        <v>1425</v>
      </c>
      <c r="O324" s="347" t="s">
        <v>827</v>
      </c>
      <c r="P324" s="347" t="s">
        <v>1011</v>
      </c>
      <c r="Q324" s="347" t="s">
        <v>1011</v>
      </c>
      <c r="R324" s="347"/>
      <c r="S324" s="347" t="s">
        <v>1011</v>
      </c>
      <c r="T324" s="347" t="s">
        <v>1011</v>
      </c>
      <c r="U324" s="347" t="s">
        <v>40</v>
      </c>
      <c r="V324" s="347" t="s">
        <v>1011</v>
      </c>
      <c r="W324" s="347" t="s">
        <v>41</v>
      </c>
      <c r="X324" s="347">
        <f t="shared" si="5"/>
        <v>5</v>
      </c>
    </row>
    <row r="325" spans="1:24" ht="90" customHeight="1" x14ac:dyDescent="0.2">
      <c r="A325" s="226" t="s">
        <v>833</v>
      </c>
      <c r="B325" s="347" t="s">
        <v>1179</v>
      </c>
      <c r="C325" s="347">
        <v>0</v>
      </c>
      <c r="D325" s="347">
        <v>0</v>
      </c>
      <c r="E325" s="347">
        <v>0</v>
      </c>
      <c r="F325" s="347">
        <v>0</v>
      </c>
      <c r="G325" s="347">
        <v>0</v>
      </c>
      <c r="H325" s="347">
        <v>0</v>
      </c>
      <c r="I325" s="347">
        <v>1</v>
      </c>
      <c r="J325" s="347">
        <v>0</v>
      </c>
      <c r="K325" s="347"/>
      <c r="L325" s="347" t="s">
        <v>8</v>
      </c>
      <c r="M325" s="347" t="s">
        <v>1011</v>
      </c>
      <c r="N325" s="347" t="s">
        <v>1425</v>
      </c>
      <c r="O325" s="347" t="s">
        <v>832</v>
      </c>
      <c r="P325" s="347" t="s">
        <v>1011</v>
      </c>
      <c r="Q325" s="347" t="s">
        <v>1011</v>
      </c>
      <c r="R325" s="347"/>
      <c r="S325" s="347" t="s">
        <v>1011</v>
      </c>
      <c r="T325" s="347" t="s">
        <v>1011</v>
      </c>
      <c r="U325" s="347" t="s">
        <v>40</v>
      </c>
      <c r="V325" s="347" t="s">
        <v>1011</v>
      </c>
      <c r="W325" s="347" t="s">
        <v>41</v>
      </c>
      <c r="X325" s="347">
        <f t="shared" si="5"/>
        <v>5</v>
      </c>
    </row>
    <row r="326" spans="1:24" ht="114" x14ac:dyDescent="0.2">
      <c r="A326" s="226" t="s">
        <v>835</v>
      </c>
      <c r="B326" s="347" t="s">
        <v>1180</v>
      </c>
      <c r="C326" s="347">
        <v>0</v>
      </c>
      <c r="D326" s="347">
        <v>0</v>
      </c>
      <c r="E326" s="347">
        <v>0</v>
      </c>
      <c r="F326" s="347">
        <v>0</v>
      </c>
      <c r="G326" s="347">
        <v>0</v>
      </c>
      <c r="H326" s="347">
        <v>0</v>
      </c>
      <c r="I326" s="347">
        <v>1</v>
      </c>
      <c r="J326" s="347">
        <v>0</v>
      </c>
      <c r="K326" s="347"/>
      <c r="L326" s="347" t="s">
        <v>8</v>
      </c>
      <c r="M326" s="347" t="s">
        <v>1011</v>
      </c>
      <c r="N326" s="347" t="s">
        <v>1425</v>
      </c>
      <c r="O326" s="347" t="s">
        <v>834</v>
      </c>
      <c r="P326" s="347" t="s">
        <v>1011</v>
      </c>
      <c r="Q326" s="347" t="s">
        <v>1011</v>
      </c>
      <c r="R326" s="347"/>
      <c r="S326" s="347" t="s">
        <v>1011</v>
      </c>
      <c r="T326" s="347" t="s">
        <v>1011</v>
      </c>
      <c r="U326" s="347" t="s">
        <v>40</v>
      </c>
      <c r="V326" s="347" t="s">
        <v>1011</v>
      </c>
      <c r="W326" s="347" t="s">
        <v>41</v>
      </c>
      <c r="X326" s="347">
        <f t="shared" si="5"/>
        <v>5</v>
      </c>
    </row>
    <row r="327" spans="1:24" ht="90" customHeight="1" x14ac:dyDescent="0.2">
      <c r="A327" s="226" t="s">
        <v>838</v>
      </c>
      <c r="B327" s="347" t="s">
        <v>836</v>
      </c>
      <c r="C327" s="347">
        <v>0</v>
      </c>
      <c r="D327" s="347">
        <v>0</v>
      </c>
      <c r="E327" s="347">
        <v>0</v>
      </c>
      <c r="F327" s="347">
        <v>0</v>
      </c>
      <c r="G327" s="347">
        <v>0</v>
      </c>
      <c r="H327" s="347">
        <v>0</v>
      </c>
      <c r="I327" s="347">
        <v>1</v>
      </c>
      <c r="J327" s="347">
        <v>0</v>
      </c>
      <c r="K327" s="347"/>
      <c r="L327" s="347" t="s">
        <v>8</v>
      </c>
      <c r="M327" s="347" t="s">
        <v>1011</v>
      </c>
      <c r="N327" s="347" t="s">
        <v>1425</v>
      </c>
      <c r="O327" s="347" t="s">
        <v>837</v>
      </c>
      <c r="P327" s="347" t="s">
        <v>1011</v>
      </c>
      <c r="Q327" s="347" t="s">
        <v>1011</v>
      </c>
      <c r="R327" s="347"/>
      <c r="S327" s="347" t="s">
        <v>1011</v>
      </c>
      <c r="T327" s="347" t="s">
        <v>1011</v>
      </c>
      <c r="U327" s="347" t="s">
        <v>40</v>
      </c>
      <c r="V327" s="347" t="s">
        <v>1011</v>
      </c>
      <c r="W327" s="347" t="s">
        <v>41</v>
      </c>
      <c r="X327" s="347">
        <f t="shared" si="5"/>
        <v>5</v>
      </c>
    </row>
    <row r="328" spans="1:24" ht="90" customHeight="1" x14ac:dyDescent="0.2">
      <c r="A328" s="226" t="s">
        <v>840</v>
      </c>
      <c r="B328" s="347" t="s">
        <v>1250</v>
      </c>
      <c r="C328" s="347">
        <v>0</v>
      </c>
      <c r="D328" s="347">
        <v>0</v>
      </c>
      <c r="E328" s="347">
        <v>0</v>
      </c>
      <c r="F328" s="347">
        <v>0</v>
      </c>
      <c r="G328" s="347">
        <v>0</v>
      </c>
      <c r="H328" s="347">
        <v>0</v>
      </c>
      <c r="I328" s="347">
        <v>1</v>
      </c>
      <c r="J328" s="347">
        <v>0</v>
      </c>
      <c r="K328" s="347"/>
      <c r="L328" s="347" t="s">
        <v>8</v>
      </c>
      <c r="M328" s="347" t="s">
        <v>1011</v>
      </c>
      <c r="N328" s="347" t="s">
        <v>1425</v>
      </c>
      <c r="O328" s="347" t="s">
        <v>1181</v>
      </c>
      <c r="P328" s="347" t="s">
        <v>1011</v>
      </c>
      <c r="Q328" s="347" t="s">
        <v>1011</v>
      </c>
      <c r="R328" s="347"/>
      <c r="S328" s="347" t="s">
        <v>1503</v>
      </c>
      <c r="T328" s="347" t="s">
        <v>1503</v>
      </c>
      <c r="U328" s="347" t="s">
        <v>40</v>
      </c>
      <c r="V328" s="347" t="s">
        <v>1011</v>
      </c>
      <c r="W328" s="347" t="s">
        <v>46</v>
      </c>
      <c r="X328" s="347">
        <f t="shared" si="5"/>
        <v>20</v>
      </c>
    </row>
    <row r="329" spans="1:24" ht="128.25" x14ac:dyDescent="0.2">
      <c r="A329" s="226" t="s">
        <v>841</v>
      </c>
      <c r="B329" s="347" t="s">
        <v>1251</v>
      </c>
      <c r="C329" s="347">
        <v>0</v>
      </c>
      <c r="D329" s="347">
        <v>0</v>
      </c>
      <c r="E329" s="347">
        <v>0</v>
      </c>
      <c r="F329" s="347">
        <v>0</v>
      </c>
      <c r="G329" s="347">
        <v>0</v>
      </c>
      <c r="H329" s="347">
        <v>0</v>
      </c>
      <c r="I329" s="347">
        <v>1</v>
      </c>
      <c r="J329" s="347">
        <v>0</v>
      </c>
      <c r="K329" s="347"/>
      <c r="L329" s="347" t="s">
        <v>8</v>
      </c>
      <c r="M329" s="347" t="s">
        <v>1011</v>
      </c>
      <c r="N329" s="347" t="s">
        <v>1426</v>
      </c>
      <c r="O329" s="347" t="s">
        <v>842</v>
      </c>
      <c r="P329" s="347" t="s">
        <v>1011</v>
      </c>
      <c r="Q329" s="347" t="s">
        <v>1011</v>
      </c>
      <c r="R329" s="347"/>
      <c r="S329" s="347" t="s">
        <v>1011</v>
      </c>
      <c r="T329" s="347" t="s">
        <v>1011</v>
      </c>
      <c r="U329" s="347" t="s">
        <v>40</v>
      </c>
      <c r="V329" s="347" t="s">
        <v>1011</v>
      </c>
      <c r="W329" s="347" t="s">
        <v>46</v>
      </c>
      <c r="X329" s="347">
        <f t="shared" si="5"/>
        <v>20</v>
      </c>
    </row>
    <row r="330" spans="1:24" ht="90" customHeight="1" x14ac:dyDescent="0.2">
      <c r="A330" s="226" t="s">
        <v>843</v>
      </c>
      <c r="B330" s="347" t="s">
        <v>1252</v>
      </c>
      <c r="C330" s="347">
        <v>0</v>
      </c>
      <c r="D330" s="347">
        <v>0</v>
      </c>
      <c r="E330" s="347">
        <v>0</v>
      </c>
      <c r="F330" s="347">
        <v>0</v>
      </c>
      <c r="G330" s="347">
        <v>0</v>
      </c>
      <c r="H330" s="347">
        <v>0</v>
      </c>
      <c r="I330" s="347">
        <v>1</v>
      </c>
      <c r="J330" s="347">
        <v>0</v>
      </c>
      <c r="K330" s="347"/>
      <c r="L330" s="347" t="s">
        <v>8</v>
      </c>
      <c r="M330" s="347" t="s">
        <v>1011</v>
      </c>
      <c r="N330" s="347" t="s">
        <v>1426</v>
      </c>
      <c r="O330" s="347" t="s">
        <v>846</v>
      </c>
      <c r="P330" s="347" t="s">
        <v>1011</v>
      </c>
      <c r="Q330" s="347" t="s">
        <v>1011</v>
      </c>
      <c r="R330" s="347"/>
      <c r="S330" s="347" t="s">
        <v>1011</v>
      </c>
      <c r="T330" s="347" t="s">
        <v>1011</v>
      </c>
      <c r="U330" s="347" t="s">
        <v>40</v>
      </c>
      <c r="V330" s="347" t="s">
        <v>1011</v>
      </c>
      <c r="W330" s="347" t="s">
        <v>46</v>
      </c>
      <c r="X330" s="347">
        <f t="shared" si="5"/>
        <v>20</v>
      </c>
    </row>
    <row r="331" spans="1:24" ht="90" customHeight="1" x14ac:dyDescent="0.2">
      <c r="A331" s="226" t="s">
        <v>845</v>
      </c>
      <c r="B331" s="347" t="s">
        <v>1182</v>
      </c>
      <c r="C331" s="347">
        <v>0</v>
      </c>
      <c r="D331" s="347">
        <v>0</v>
      </c>
      <c r="E331" s="347">
        <v>0</v>
      </c>
      <c r="F331" s="347">
        <v>0</v>
      </c>
      <c r="G331" s="347">
        <v>0</v>
      </c>
      <c r="H331" s="347">
        <v>0</v>
      </c>
      <c r="I331" s="347">
        <v>1</v>
      </c>
      <c r="J331" s="347">
        <v>0</v>
      </c>
      <c r="K331" s="347"/>
      <c r="L331" s="347" t="s">
        <v>8</v>
      </c>
      <c r="M331" s="347" t="s">
        <v>1011</v>
      </c>
      <c r="N331" s="347" t="s">
        <v>1427</v>
      </c>
      <c r="O331" s="347" t="s">
        <v>848</v>
      </c>
      <c r="P331" s="347" t="s">
        <v>1011</v>
      </c>
      <c r="Q331" s="347" t="s">
        <v>1011</v>
      </c>
      <c r="R331" s="347"/>
      <c r="S331" s="347" t="s">
        <v>1011</v>
      </c>
      <c r="T331" s="347" t="s">
        <v>1011</v>
      </c>
      <c r="U331" s="347" t="s">
        <v>40</v>
      </c>
      <c r="V331" s="347" t="s">
        <v>1011</v>
      </c>
      <c r="W331" s="347" t="s">
        <v>46</v>
      </c>
      <c r="X331" s="347">
        <f t="shared" si="5"/>
        <v>20</v>
      </c>
    </row>
    <row r="332" spans="1:24" ht="90" customHeight="1" x14ac:dyDescent="0.2">
      <c r="A332" s="226" t="s">
        <v>847</v>
      </c>
      <c r="B332" s="347" t="s">
        <v>1253</v>
      </c>
      <c r="C332" s="347">
        <v>0</v>
      </c>
      <c r="D332" s="347">
        <v>0</v>
      </c>
      <c r="E332" s="347">
        <v>0</v>
      </c>
      <c r="F332" s="347">
        <v>0</v>
      </c>
      <c r="G332" s="347">
        <v>0</v>
      </c>
      <c r="H332" s="347">
        <v>0</v>
      </c>
      <c r="I332" s="347">
        <v>1</v>
      </c>
      <c r="J332" s="347">
        <v>0</v>
      </c>
      <c r="K332" s="347"/>
      <c r="L332" s="347" t="s">
        <v>8</v>
      </c>
      <c r="M332" s="347" t="s">
        <v>1011</v>
      </c>
      <c r="N332" s="347" t="s">
        <v>1426</v>
      </c>
      <c r="O332" s="347" t="s">
        <v>844</v>
      </c>
      <c r="P332" s="347" t="s">
        <v>1011</v>
      </c>
      <c r="Q332" s="347" t="s">
        <v>1011</v>
      </c>
      <c r="R332" s="347"/>
      <c r="S332" s="347" t="s">
        <v>1011</v>
      </c>
      <c r="T332" s="347" t="s">
        <v>1011</v>
      </c>
      <c r="U332" s="347" t="s">
        <v>40</v>
      </c>
      <c r="V332" s="347" t="s">
        <v>1011</v>
      </c>
      <c r="W332" s="347" t="s">
        <v>75</v>
      </c>
      <c r="X332" s="347">
        <f t="shared" si="5"/>
        <v>10</v>
      </c>
    </row>
    <row r="333" spans="1:24" ht="90" customHeight="1" x14ac:dyDescent="0.2">
      <c r="A333" s="226" t="s">
        <v>849</v>
      </c>
      <c r="B333" s="347" t="s">
        <v>853</v>
      </c>
      <c r="C333" s="347">
        <v>0</v>
      </c>
      <c r="D333" s="347">
        <v>0</v>
      </c>
      <c r="E333" s="347">
        <v>0</v>
      </c>
      <c r="F333" s="347">
        <v>0</v>
      </c>
      <c r="G333" s="347">
        <v>0</v>
      </c>
      <c r="H333" s="347">
        <v>0</v>
      </c>
      <c r="I333" s="347">
        <v>1</v>
      </c>
      <c r="J333" s="347">
        <v>0</v>
      </c>
      <c r="K333" s="347"/>
      <c r="L333" s="347" t="s">
        <v>8</v>
      </c>
      <c r="M333" s="347" t="s">
        <v>1011</v>
      </c>
      <c r="N333" s="347" t="s">
        <v>1426</v>
      </c>
      <c r="O333" s="347" t="s">
        <v>854</v>
      </c>
      <c r="P333" s="347" t="s">
        <v>1011</v>
      </c>
      <c r="Q333" s="347" t="s">
        <v>1011</v>
      </c>
      <c r="R333" s="347"/>
      <c r="S333" s="347" t="s">
        <v>1011</v>
      </c>
      <c r="T333" s="347" t="s">
        <v>1011</v>
      </c>
      <c r="U333" s="347" t="s">
        <v>40</v>
      </c>
      <c r="V333" s="347" t="s">
        <v>1011</v>
      </c>
      <c r="W333" s="347" t="s">
        <v>75</v>
      </c>
      <c r="X333" s="347">
        <f t="shared" si="5"/>
        <v>10</v>
      </c>
    </row>
    <row r="334" spans="1:24" ht="90" customHeight="1" x14ac:dyDescent="0.2">
      <c r="A334" s="226" t="s">
        <v>852</v>
      </c>
      <c r="B334" s="347" t="s">
        <v>850</v>
      </c>
      <c r="C334" s="347">
        <v>0</v>
      </c>
      <c r="D334" s="347">
        <v>0</v>
      </c>
      <c r="E334" s="347">
        <v>0</v>
      </c>
      <c r="F334" s="347">
        <v>0</v>
      </c>
      <c r="G334" s="347">
        <v>0</v>
      </c>
      <c r="H334" s="347">
        <v>0</v>
      </c>
      <c r="I334" s="347">
        <v>1</v>
      </c>
      <c r="J334" s="347">
        <v>0</v>
      </c>
      <c r="K334" s="347"/>
      <c r="L334" s="347" t="s">
        <v>8</v>
      </c>
      <c r="M334" s="347" t="s">
        <v>1011</v>
      </c>
      <c r="N334" s="347" t="s">
        <v>1426</v>
      </c>
      <c r="O334" s="347" t="s">
        <v>851</v>
      </c>
      <c r="P334" s="347" t="s">
        <v>1011</v>
      </c>
      <c r="Q334" s="347" t="s">
        <v>1011</v>
      </c>
      <c r="R334" s="347"/>
      <c r="S334" s="347" t="s">
        <v>1011</v>
      </c>
      <c r="T334" s="347" t="s">
        <v>1011</v>
      </c>
      <c r="U334" s="347" t="s">
        <v>40</v>
      </c>
      <c r="V334" s="347" t="s">
        <v>1011</v>
      </c>
      <c r="W334" s="347" t="s">
        <v>41</v>
      </c>
      <c r="X334" s="347">
        <f t="shared" si="5"/>
        <v>5</v>
      </c>
    </row>
    <row r="335" spans="1:24" ht="14.25" x14ac:dyDescent="0.2">
      <c r="A335" s="226"/>
      <c r="B335" s="226"/>
      <c r="C335" s="226"/>
      <c r="D335" s="226"/>
      <c r="E335" s="226"/>
      <c r="F335" s="226"/>
      <c r="G335" s="226"/>
      <c r="H335" s="226"/>
      <c r="I335" s="226"/>
      <c r="J335" s="226"/>
      <c r="K335" s="226"/>
      <c r="L335" s="226"/>
      <c r="M335" s="226"/>
      <c r="N335" s="226"/>
      <c r="O335" s="226"/>
      <c r="P335" s="226"/>
      <c r="Q335" s="226"/>
      <c r="R335" s="226"/>
      <c r="S335" s="226"/>
      <c r="T335" s="226"/>
      <c r="U335" s="226"/>
      <c r="V335" s="226"/>
      <c r="W335" s="226"/>
      <c r="X335" s="226"/>
    </row>
    <row r="336" spans="1:24" ht="14.25" x14ac:dyDescent="0.2">
      <c r="A336" s="226"/>
      <c r="B336" s="226"/>
      <c r="C336" s="226"/>
      <c r="D336" s="226"/>
      <c r="E336" s="226"/>
      <c r="F336" s="226"/>
      <c r="G336" s="226"/>
      <c r="H336" s="226"/>
      <c r="I336" s="226"/>
      <c r="J336" s="226"/>
      <c r="K336" s="226"/>
      <c r="L336" s="226"/>
      <c r="M336" s="226"/>
      <c r="N336" s="226"/>
      <c r="O336" s="226"/>
      <c r="P336" s="226"/>
      <c r="Q336" s="226"/>
      <c r="R336" s="226"/>
      <c r="S336" s="226"/>
      <c r="T336" s="226"/>
      <c r="U336" s="226"/>
      <c r="V336" s="226"/>
      <c r="W336" s="226"/>
      <c r="X336" s="226"/>
    </row>
    <row r="337" spans="1:24" ht="14.25" x14ac:dyDescent="0.2">
      <c r="A337" s="226"/>
      <c r="B337" s="226"/>
      <c r="C337" s="226"/>
      <c r="D337" s="226"/>
      <c r="E337" s="226"/>
      <c r="F337" s="226"/>
      <c r="G337" s="226"/>
      <c r="H337" s="226"/>
      <c r="I337" s="226"/>
      <c r="J337" s="226"/>
      <c r="K337" s="226"/>
      <c r="L337" s="226"/>
      <c r="M337" s="226"/>
      <c r="N337" s="226"/>
      <c r="O337" s="226"/>
      <c r="P337" s="226"/>
      <c r="Q337" s="226"/>
      <c r="R337" s="226"/>
      <c r="S337" s="226"/>
      <c r="T337" s="226"/>
      <c r="U337" s="226"/>
      <c r="V337" s="226"/>
      <c r="W337" s="226"/>
      <c r="X337" s="226"/>
    </row>
    <row r="338" spans="1:24" ht="14.25" x14ac:dyDescent="0.2">
      <c r="A338" s="226"/>
      <c r="B338" s="226"/>
      <c r="C338" s="226"/>
      <c r="D338" s="226"/>
      <c r="E338" s="226"/>
      <c r="F338" s="226"/>
      <c r="G338" s="226"/>
      <c r="H338" s="226"/>
      <c r="I338" s="226"/>
      <c r="J338" s="226"/>
      <c r="K338" s="226"/>
      <c r="L338" s="226"/>
      <c r="M338" s="226"/>
      <c r="N338" s="226"/>
      <c r="O338" s="226"/>
      <c r="P338" s="226"/>
      <c r="Q338" s="226"/>
      <c r="R338" s="226"/>
      <c r="S338" s="226"/>
      <c r="T338" s="226"/>
      <c r="U338" s="226"/>
      <c r="V338" s="226"/>
      <c r="W338" s="226"/>
      <c r="X338" s="226"/>
    </row>
    <row r="339" spans="1:24" ht="14.25" x14ac:dyDescent="0.2">
      <c r="A339" s="226"/>
      <c r="B339" s="226"/>
      <c r="C339" s="226"/>
      <c r="D339" s="226"/>
      <c r="E339" s="226"/>
      <c r="F339" s="226"/>
      <c r="G339" s="226"/>
      <c r="H339" s="226"/>
      <c r="I339" s="226"/>
      <c r="J339" s="226"/>
      <c r="K339" s="226"/>
      <c r="L339" s="226"/>
      <c r="M339" s="226"/>
      <c r="N339" s="226"/>
      <c r="O339" s="226"/>
      <c r="P339" s="226"/>
      <c r="Q339" s="226"/>
      <c r="R339" s="226"/>
      <c r="S339" s="226"/>
      <c r="T339" s="226"/>
      <c r="U339" s="226"/>
      <c r="V339" s="226"/>
      <c r="W339" s="226"/>
      <c r="X339" s="226"/>
    </row>
    <row r="340" spans="1:24" ht="14.25" x14ac:dyDescent="0.2">
      <c r="A340" s="226"/>
      <c r="B340" s="226"/>
      <c r="C340" s="226"/>
      <c r="D340" s="226"/>
      <c r="E340" s="226"/>
      <c r="F340" s="226"/>
      <c r="G340" s="226"/>
      <c r="H340" s="226"/>
      <c r="I340" s="226"/>
      <c r="J340" s="226"/>
      <c r="K340" s="226"/>
      <c r="L340" s="226"/>
      <c r="M340" s="226"/>
      <c r="N340" s="226"/>
      <c r="O340" s="226"/>
      <c r="P340" s="226"/>
      <c r="Q340" s="226"/>
      <c r="R340" s="226"/>
      <c r="S340" s="226"/>
      <c r="T340" s="226"/>
      <c r="U340" s="226"/>
      <c r="V340" s="226"/>
      <c r="W340" s="226"/>
      <c r="X340" s="226"/>
    </row>
    <row r="341" spans="1:24" ht="14.25" x14ac:dyDescent="0.2">
      <c r="A341" s="226"/>
      <c r="B341" s="226"/>
      <c r="C341" s="226"/>
      <c r="D341" s="226"/>
      <c r="E341" s="226"/>
      <c r="F341" s="226"/>
      <c r="G341" s="226"/>
      <c r="H341" s="226"/>
      <c r="I341" s="226"/>
      <c r="J341" s="226"/>
      <c r="K341" s="226"/>
      <c r="L341" s="226"/>
      <c r="M341" s="226"/>
      <c r="N341" s="226"/>
      <c r="O341" s="226"/>
      <c r="P341" s="226"/>
      <c r="Q341" s="226"/>
      <c r="R341" s="226"/>
      <c r="S341" s="226"/>
      <c r="T341" s="226"/>
      <c r="U341" s="226"/>
      <c r="V341" s="226"/>
      <c r="W341" s="226"/>
      <c r="X341" s="226"/>
    </row>
    <row r="342" spans="1:24" ht="14.25" x14ac:dyDescent="0.2">
      <c r="A342" s="226"/>
      <c r="B342" s="226"/>
      <c r="C342" s="226"/>
      <c r="D342" s="226"/>
      <c r="E342" s="226"/>
      <c r="F342" s="226"/>
      <c r="G342" s="226"/>
      <c r="H342" s="226"/>
      <c r="I342" s="226"/>
      <c r="J342" s="226"/>
      <c r="K342" s="226"/>
      <c r="L342" s="226"/>
      <c r="M342" s="226"/>
      <c r="N342" s="226"/>
      <c r="O342" s="226"/>
      <c r="P342" s="226"/>
      <c r="Q342" s="226"/>
      <c r="R342" s="226"/>
      <c r="S342" s="226"/>
      <c r="T342" s="226"/>
      <c r="U342" s="226"/>
      <c r="V342" s="226"/>
      <c r="W342" s="226"/>
      <c r="X342" s="226"/>
    </row>
    <row r="343" spans="1:24" ht="14.25" x14ac:dyDescent="0.2">
      <c r="A343" s="226"/>
      <c r="B343" s="226"/>
      <c r="C343" s="226"/>
      <c r="D343" s="226"/>
      <c r="E343" s="226"/>
      <c r="F343" s="226"/>
      <c r="G343" s="226"/>
      <c r="H343" s="226"/>
      <c r="I343" s="226"/>
      <c r="J343" s="226"/>
      <c r="K343" s="226"/>
      <c r="L343" s="226"/>
      <c r="M343" s="226"/>
      <c r="N343" s="226"/>
      <c r="O343" s="226"/>
      <c r="P343" s="226"/>
      <c r="Q343" s="226"/>
      <c r="R343" s="226"/>
      <c r="S343" s="226"/>
      <c r="T343" s="226"/>
      <c r="U343" s="226"/>
      <c r="V343" s="226"/>
      <c r="W343" s="226"/>
      <c r="X343" s="226"/>
    </row>
    <row r="344" spans="1:24" ht="14.25" x14ac:dyDescent="0.2">
      <c r="A344" s="226"/>
      <c r="B344" s="226"/>
      <c r="C344" s="226"/>
      <c r="D344" s="226"/>
      <c r="E344" s="226"/>
      <c r="F344" s="226"/>
      <c r="G344" s="226"/>
      <c r="H344" s="226"/>
      <c r="I344" s="226"/>
      <c r="J344" s="226"/>
      <c r="K344" s="226"/>
      <c r="L344" s="226"/>
      <c r="M344" s="226"/>
      <c r="N344" s="226"/>
      <c r="O344" s="226"/>
      <c r="P344" s="226"/>
      <c r="Q344" s="226"/>
      <c r="R344" s="226"/>
      <c r="S344" s="226"/>
      <c r="T344" s="226"/>
      <c r="U344" s="226"/>
      <c r="V344" s="226"/>
      <c r="W344" s="226"/>
      <c r="X344" s="226"/>
    </row>
    <row r="345" spans="1:24" ht="14.25" x14ac:dyDescent="0.2">
      <c r="A345" s="226"/>
      <c r="B345" s="226"/>
      <c r="C345" s="226"/>
      <c r="D345" s="226"/>
      <c r="E345" s="226"/>
      <c r="F345" s="226"/>
      <c r="G345" s="226"/>
      <c r="H345" s="226"/>
      <c r="I345" s="226"/>
      <c r="J345" s="226"/>
      <c r="K345" s="226"/>
      <c r="L345" s="226"/>
      <c r="M345" s="226"/>
      <c r="N345" s="226"/>
      <c r="O345" s="226"/>
      <c r="P345" s="226"/>
      <c r="Q345" s="226"/>
      <c r="R345" s="226"/>
      <c r="S345" s="226"/>
      <c r="T345" s="226"/>
      <c r="U345" s="226"/>
      <c r="V345" s="226"/>
      <c r="W345" s="226"/>
      <c r="X345" s="226"/>
    </row>
    <row r="346" spans="1:24" ht="14.25" x14ac:dyDescent="0.2">
      <c r="A346" s="226"/>
      <c r="B346" s="226"/>
      <c r="C346" s="226"/>
      <c r="D346" s="226"/>
      <c r="E346" s="226"/>
      <c r="F346" s="226"/>
      <c r="G346" s="226"/>
      <c r="H346" s="226"/>
      <c r="I346" s="226"/>
      <c r="J346" s="226"/>
      <c r="K346" s="226"/>
      <c r="L346" s="226"/>
      <c r="M346" s="226"/>
      <c r="N346" s="226"/>
      <c r="O346" s="226"/>
      <c r="P346" s="226"/>
      <c r="Q346" s="226"/>
      <c r="R346" s="226"/>
      <c r="S346" s="226"/>
      <c r="T346" s="226"/>
      <c r="U346" s="226"/>
      <c r="V346" s="226"/>
      <c r="W346" s="226"/>
      <c r="X346" s="226"/>
    </row>
    <row r="347" spans="1:24" ht="14.25" x14ac:dyDescent="0.2">
      <c r="A347" s="226"/>
      <c r="B347" s="226"/>
      <c r="C347" s="226"/>
      <c r="D347" s="226"/>
      <c r="E347" s="226"/>
      <c r="F347" s="226"/>
      <c r="G347" s="226"/>
      <c r="H347" s="226"/>
      <c r="I347" s="226"/>
      <c r="J347" s="226"/>
      <c r="K347" s="226"/>
      <c r="L347" s="226"/>
      <c r="M347" s="226"/>
      <c r="N347" s="226"/>
      <c r="O347" s="226"/>
      <c r="P347" s="226"/>
      <c r="Q347" s="226"/>
      <c r="R347" s="226"/>
      <c r="S347" s="226"/>
      <c r="T347" s="226"/>
      <c r="U347" s="226"/>
      <c r="V347" s="226"/>
      <c r="W347" s="226"/>
      <c r="X347" s="226"/>
    </row>
    <row r="348" spans="1:24" ht="14.25" x14ac:dyDescent="0.2">
      <c r="A348" s="226"/>
      <c r="B348" s="226"/>
      <c r="C348" s="226"/>
      <c r="D348" s="226"/>
      <c r="E348" s="226"/>
      <c r="F348" s="226"/>
      <c r="G348" s="226"/>
      <c r="H348" s="226"/>
      <c r="I348" s="226"/>
      <c r="J348" s="226"/>
      <c r="K348" s="226"/>
      <c r="L348" s="226"/>
      <c r="M348" s="226"/>
      <c r="N348" s="226"/>
      <c r="O348" s="226"/>
      <c r="P348" s="226"/>
      <c r="Q348" s="226"/>
      <c r="R348" s="226"/>
      <c r="S348" s="226"/>
      <c r="T348" s="226"/>
      <c r="U348" s="226"/>
      <c r="V348" s="226"/>
      <c r="W348" s="226"/>
      <c r="X348" s="226"/>
    </row>
    <row r="349" spans="1:24" ht="14.25" x14ac:dyDescent="0.2">
      <c r="A349" s="226"/>
      <c r="B349" s="226"/>
      <c r="C349" s="226"/>
      <c r="D349" s="226"/>
      <c r="E349" s="226"/>
      <c r="F349" s="226"/>
      <c r="G349" s="226"/>
      <c r="H349" s="226"/>
      <c r="I349" s="226"/>
      <c r="J349" s="226"/>
      <c r="K349" s="226"/>
      <c r="L349" s="226"/>
      <c r="M349" s="226"/>
      <c r="N349" s="226"/>
      <c r="O349" s="226"/>
      <c r="P349" s="226"/>
      <c r="Q349" s="226"/>
      <c r="R349" s="226"/>
      <c r="S349" s="226"/>
      <c r="T349" s="226"/>
      <c r="U349" s="226"/>
      <c r="V349" s="226"/>
      <c r="W349" s="226"/>
      <c r="X349" s="226"/>
    </row>
    <row r="350" spans="1:24" ht="14.25" x14ac:dyDescent="0.2">
      <c r="A350" s="226"/>
      <c r="B350" s="226"/>
      <c r="C350" s="226"/>
      <c r="D350" s="226"/>
      <c r="E350" s="226"/>
      <c r="F350" s="226"/>
      <c r="G350" s="226"/>
      <c r="H350" s="226"/>
      <c r="I350" s="226"/>
      <c r="J350" s="226"/>
      <c r="K350" s="226"/>
      <c r="L350" s="226"/>
      <c r="M350" s="226"/>
      <c r="N350" s="226"/>
      <c r="O350" s="226"/>
      <c r="P350" s="226"/>
      <c r="Q350" s="226"/>
      <c r="R350" s="226"/>
      <c r="S350" s="226"/>
      <c r="T350" s="226"/>
      <c r="U350" s="226"/>
      <c r="V350" s="226"/>
      <c r="W350" s="226"/>
      <c r="X350" s="226"/>
    </row>
    <row r="351" spans="1:24" ht="14.25" x14ac:dyDescent="0.2">
      <c r="A351" s="226"/>
      <c r="B351" s="226"/>
      <c r="C351" s="226"/>
      <c r="D351" s="226"/>
      <c r="E351" s="226"/>
      <c r="F351" s="226"/>
      <c r="G351" s="226"/>
      <c r="H351" s="226"/>
      <c r="I351" s="226"/>
      <c r="J351" s="226"/>
      <c r="K351" s="226"/>
      <c r="L351" s="226"/>
      <c r="M351" s="226"/>
      <c r="N351" s="226"/>
      <c r="O351" s="226"/>
      <c r="P351" s="226"/>
      <c r="Q351" s="226"/>
      <c r="R351" s="226"/>
      <c r="S351" s="226"/>
      <c r="T351" s="226"/>
      <c r="U351" s="226"/>
      <c r="V351" s="226"/>
      <c r="W351" s="226"/>
      <c r="X351" s="226"/>
    </row>
    <row r="352" spans="1:24" ht="14.25" x14ac:dyDescent="0.2">
      <c r="A352" s="226"/>
      <c r="B352" s="226"/>
      <c r="C352" s="226"/>
      <c r="D352" s="226"/>
      <c r="E352" s="226"/>
      <c r="F352" s="226"/>
      <c r="G352" s="226"/>
      <c r="H352" s="226"/>
      <c r="I352" s="226"/>
      <c r="J352" s="226"/>
      <c r="K352" s="226"/>
      <c r="L352" s="226"/>
      <c r="M352" s="226"/>
      <c r="N352" s="226"/>
      <c r="O352" s="226"/>
      <c r="P352" s="226"/>
      <c r="Q352" s="226"/>
      <c r="R352" s="226"/>
      <c r="S352" s="226"/>
      <c r="T352" s="226"/>
      <c r="U352" s="226"/>
      <c r="V352" s="226"/>
      <c r="W352" s="226"/>
      <c r="X352" s="226"/>
    </row>
    <row r="353" spans="1:24" ht="14.25" x14ac:dyDescent="0.2">
      <c r="A353" s="226"/>
      <c r="B353" s="226"/>
      <c r="C353" s="226"/>
      <c r="D353" s="226"/>
      <c r="E353" s="226"/>
      <c r="F353" s="226"/>
      <c r="G353" s="226"/>
      <c r="H353" s="226"/>
      <c r="I353" s="226"/>
      <c r="J353" s="226"/>
      <c r="K353" s="226"/>
      <c r="L353" s="226"/>
      <c r="M353" s="226"/>
      <c r="N353" s="226"/>
      <c r="O353" s="226"/>
      <c r="P353" s="226"/>
      <c r="Q353" s="226"/>
      <c r="R353" s="226"/>
      <c r="S353" s="226"/>
      <c r="T353" s="226"/>
      <c r="U353" s="226"/>
      <c r="V353" s="226"/>
      <c r="W353" s="226"/>
      <c r="X353" s="226"/>
    </row>
    <row r="354" spans="1:24" ht="14.25" x14ac:dyDescent="0.2">
      <c r="A354" s="226"/>
      <c r="B354" s="226"/>
      <c r="C354" s="226"/>
      <c r="D354" s="226"/>
      <c r="E354" s="226"/>
      <c r="F354" s="226"/>
      <c r="G354" s="226"/>
      <c r="H354" s="226"/>
      <c r="I354" s="226"/>
      <c r="J354" s="226"/>
      <c r="K354" s="226"/>
      <c r="L354" s="226"/>
      <c r="M354" s="226"/>
      <c r="N354" s="226"/>
      <c r="O354" s="226"/>
      <c r="P354" s="226"/>
      <c r="Q354" s="226"/>
      <c r="R354" s="226"/>
      <c r="S354" s="226"/>
      <c r="T354" s="226"/>
      <c r="U354" s="226"/>
      <c r="V354" s="226"/>
      <c r="W354" s="226"/>
      <c r="X354" s="226"/>
    </row>
    <row r="355" spans="1:24" ht="14.25" x14ac:dyDescent="0.2">
      <c r="A355" s="226"/>
      <c r="B355" s="226"/>
      <c r="C355" s="226"/>
      <c r="D355" s="226"/>
      <c r="E355" s="226"/>
      <c r="F355" s="226"/>
      <c r="G355" s="226"/>
      <c r="H355" s="226"/>
      <c r="I355" s="226"/>
      <c r="J355" s="226"/>
      <c r="K355" s="226"/>
      <c r="L355" s="226"/>
      <c r="M355" s="226"/>
      <c r="N355" s="226"/>
      <c r="O355" s="226"/>
      <c r="P355" s="226"/>
      <c r="Q355" s="226"/>
      <c r="R355" s="226"/>
      <c r="S355" s="226"/>
      <c r="T355" s="226"/>
      <c r="U355" s="226"/>
      <c r="V355" s="226"/>
      <c r="W355" s="226"/>
      <c r="X355" s="226"/>
    </row>
    <row r="356" spans="1:24" ht="14.25" x14ac:dyDescent="0.2">
      <c r="A356" s="226"/>
      <c r="B356" s="226"/>
      <c r="C356" s="226"/>
      <c r="D356" s="226"/>
      <c r="E356" s="226"/>
      <c r="F356" s="226"/>
      <c r="G356" s="226"/>
      <c r="H356" s="226"/>
      <c r="I356" s="226"/>
      <c r="J356" s="226"/>
      <c r="K356" s="226"/>
      <c r="L356" s="226"/>
      <c r="M356" s="226"/>
      <c r="N356" s="226"/>
      <c r="O356" s="226"/>
      <c r="P356" s="226"/>
      <c r="Q356" s="226"/>
      <c r="R356" s="226"/>
      <c r="S356" s="226"/>
      <c r="T356" s="226"/>
      <c r="U356" s="226"/>
      <c r="V356" s="226"/>
      <c r="W356" s="226"/>
      <c r="X356" s="226"/>
    </row>
    <row r="357" spans="1:24" ht="14.25" x14ac:dyDescent="0.2">
      <c r="A357" s="226"/>
      <c r="B357" s="226"/>
      <c r="C357" s="226"/>
      <c r="D357" s="226"/>
      <c r="E357" s="226"/>
      <c r="F357" s="226"/>
      <c r="G357" s="226"/>
      <c r="H357" s="226"/>
      <c r="I357" s="226"/>
      <c r="J357" s="226"/>
      <c r="K357" s="226"/>
      <c r="L357" s="226"/>
      <c r="M357" s="226"/>
      <c r="N357" s="226"/>
      <c r="O357" s="226"/>
      <c r="P357" s="226"/>
      <c r="Q357" s="226"/>
      <c r="R357" s="226"/>
      <c r="S357" s="226"/>
      <c r="T357" s="226"/>
      <c r="U357" s="226"/>
      <c r="V357" s="226"/>
      <c r="W357" s="226"/>
      <c r="X357" s="226"/>
    </row>
    <row r="358" spans="1:24" ht="14.25" x14ac:dyDescent="0.2">
      <c r="A358" s="226"/>
      <c r="B358" s="226"/>
      <c r="C358" s="226"/>
      <c r="D358" s="226"/>
      <c r="E358" s="226"/>
      <c r="F358" s="226"/>
      <c r="G358" s="226"/>
      <c r="H358" s="226"/>
      <c r="I358" s="226"/>
      <c r="J358" s="226"/>
      <c r="K358" s="226"/>
      <c r="L358" s="226"/>
      <c r="M358" s="226"/>
      <c r="N358" s="226"/>
      <c r="O358" s="226"/>
      <c r="P358" s="226"/>
      <c r="Q358" s="226"/>
      <c r="R358" s="226"/>
      <c r="S358" s="226"/>
      <c r="T358" s="226"/>
      <c r="U358" s="226"/>
      <c r="V358" s="226"/>
      <c r="W358" s="226"/>
      <c r="X358" s="226"/>
    </row>
    <row r="359" spans="1:24" ht="14.25" x14ac:dyDescent="0.2">
      <c r="A359" s="226"/>
      <c r="B359" s="226"/>
      <c r="C359" s="226"/>
      <c r="D359" s="226"/>
      <c r="E359" s="226"/>
      <c r="F359" s="226"/>
      <c r="G359" s="226"/>
      <c r="H359" s="226"/>
      <c r="I359" s="226"/>
      <c r="J359" s="226"/>
      <c r="K359" s="226"/>
      <c r="L359" s="226"/>
      <c r="M359" s="226"/>
      <c r="N359" s="226"/>
      <c r="O359" s="226"/>
      <c r="P359" s="226"/>
      <c r="Q359" s="226"/>
      <c r="R359" s="226"/>
      <c r="S359" s="226"/>
      <c r="T359" s="226"/>
      <c r="U359" s="226"/>
      <c r="V359" s="226"/>
      <c r="W359" s="226"/>
      <c r="X359" s="226"/>
    </row>
    <row r="360" spans="1:24" ht="14.25" x14ac:dyDescent="0.2">
      <c r="A360" s="226"/>
      <c r="B360" s="226"/>
      <c r="C360" s="226"/>
      <c r="D360" s="226"/>
      <c r="E360" s="226"/>
      <c r="F360" s="226"/>
      <c r="G360" s="226"/>
      <c r="H360" s="226"/>
      <c r="I360" s="226"/>
      <c r="J360" s="226"/>
      <c r="K360" s="226"/>
      <c r="L360" s="226"/>
      <c r="M360" s="226"/>
      <c r="N360" s="226"/>
      <c r="O360" s="226"/>
      <c r="P360" s="226"/>
      <c r="Q360" s="226"/>
      <c r="R360" s="226"/>
      <c r="S360" s="226"/>
      <c r="T360" s="226"/>
      <c r="U360" s="226"/>
      <c r="V360" s="226"/>
      <c r="W360" s="226"/>
      <c r="X360" s="226"/>
    </row>
    <row r="361" spans="1:24" ht="14.25" x14ac:dyDescent="0.2">
      <c r="A361" s="226"/>
      <c r="B361" s="226"/>
      <c r="C361" s="226"/>
      <c r="D361" s="226"/>
      <c r="E361" s="226"/>
      <c r="F361" s="226"/>
      <c r="G361" s="226"/>
      <c r="H361" s="226"/>
      <c r="I361" s="226"/>
      <c r="J361" s="226"/>
      <c r="K361" s="226"/>
      <c r="L361" s="226"/>
      <c r="M361" s="226"/>
      <c r="N361" s="226"/>
      <c r="O361" s="226"/>
      <c r="P361" s="226"/>
      <c r="Q361" s="226"/>
      <c r="R361" s="226"/>
      <c r="S361" s="226"/>
      <c r="T361" s="226"/>
      <c r="U361" s="226"/>
      <c r="V361" s="226"/>
      <c r="W361" s="226"/>
      <c r="X361" s="226"/>
    </row>
    <row r="362" spans="1:24" ht="14.25" x14ac:dyDescent="0.2">
      <c r="A362" s="226"/>
      <c r="B362" s="226"/>
      <c r="C362" s="226"/>
      <c r="D362" s="226"/>
      <c r="E362" s="226"/>
      <c r="F362" s="226"/>
      <c r="G362" s="226"/>
      <c r="H362" s="226"/>
      <c r="I362" s="226"/>
      <c r="J362" s="226"/>
      <c r="K362" s="226"/>
      <c r="L362" s="226"/>
      <c r="M362" s="226"/>
      <c r="N362" s="226"/>
      <c r="O362" s="226"/>
      <c r="P362" s="226"/>
      <c r="Q362" s="226"/>
      <c r="R362" s="226"/>
      <c r="S362" s="226"/>
      <c r="T362" s="226"/>
      <c r="U362" s="226"/>
      <c r="V362" s="226"/>
      <c r="W362" s="226"/>
      <c r="X362" s="226"/>
    </row>
    <row r="363" spans="1:24" ht="14.25" x14ac:dyDescent="0.2">
      <c r="A363" s="226"/>
      <c r="B363" s="226"/>
      <c r="C363" s="226"/>
      <c r="D363" s="226"/>
      <c r="E363" s="226"/>
      <c r="F363" s="226"/>
      <c r="G363" s="226"/>
      <c r="H363" s="226"/>
      <c r="I363" s="226"/>
      <c r="J363" s="226"/>
      <c r="K363" s="226"/>
      <c r="L363" s="226"/>
      <c r="M363" s="226"/>
      <c r="N363" s="226"/>
      <c r="O363" s="226"/>
      <c r="P363" s="226"/>
      <c r="Q363" s="226"/>
      <c r="R363" s="226"/>
      <c r="S363" s="226"/>
      <c r="T363" s="226"/>
      <c r="U363" s="226"/>
      <c r="V363" s="226"/>
      <c r="W363" s="226"/>
      <c r="X363" s="226"/>
    </row>
    <row r="364" spans="1:24" ht="14.25" x14ac:dyDescent="0.2">
      <c r="A364" s="226"/>
      <c r="B364" s="226"/>
      <c r="C364" s="226"/>
      <c r="D364" s="226"/>
      <c r="E364" s="226"/>
      <c r="F364" s="226"/>
      <c r="G364" s="226"/>
      <c r="H364" s="226"/>
      <c r="I364" s="226"/>
      <c r="J364" s="226"/>
      <c r="K364" s="226"/>
      <c r="L364" s="226"/>
      <c r="M364" s="226"/>
      <c r="N364" s="226"/>
      <c r="O364" s="226"/>
      <c r="P364" s="226"/>
      <c r="Q364" s="226"/>
      <c r="R364" s="226"/>
      <c r="S364" s="226"/>
      <c r="T364" s="226"/>
      <c r="U364" s="226"/>
      <c r="V364" s="226"/>
      <c r="W364" s="226"/>
      <c r="X364" s="226"/>
    </row>
    <row r="365" spans="1:24" ht="14.25" x14ac:dyDescent="0.2">
      <c r="A365" s="226"/>
      <c r="B365" s="226"/>
      <c r="C365" s="226"/>
      <c r="D365" s="226"/>
      <c r="E365" s="226"/>
      <c r="F365" s="226"/>
      <c r="G365" s="226"/>
      <c r="H365" s="226"/>
      <c r="I365" s="226"/>
      <c r="J365" s="226"/>
      <c r="K365" s="226"/>
      <c r="L365" s="226"/>
      <c r="M365" s="226"/>
      <c r="N365" s="226"/>
      <c r="O365" s="226"/>
      <c r="P365" s="226"/>
      <c r="Q365" s="226"/>
      <c r="R365" s="226"/>
      <c r="S365" s="226"/>
      <c r="T365" s="226"/>
      <c r="U365" s="226"/>
      <c r="V365" s="226"/>
      <c r="W365" s="226"/>
      <c r="X365" s="226"/>
    </row>
    <row r="366" spans="1:24" ht="14.25" x14ac:dyDescent="0.2">
      <c r="A366" s="226"/>
      <c r="B366" s="226"/>
      <c r="C366" s="226"/>
      <c r="D366" s="226"/>
      <c r="E366" s="226"/>
      <c r="F366" s="226"/>
      <c r="G366" s="226"/>
      <c r="H366" s="226"/>
      <c r="I366" s="226"/>
      <c r="J366" s="226"/>
      <c r="K366" s="226"/>
      <c r="L366" s="226"/>
      <c r="M366" s="226"/>
      <c r="N366" s="226"/>
      <c r="O366" s="226"/>
      <c r="P366" s="226"/>
      <c r="Q366" s="226"/>
      <c r="R366" s="226"/>
      <c r="S366" s="226"/>
      <c r="T366" s="226"/>
      <c r="U366" s="226"/>
      <c r="V366" s="226"/>
      <c r="W366" s="226"/>
      <c r="X366" s="226"/>
    </row>
    <row r="367" spans="1:24" ht="14.25" x14ac:dyDescent="0.2">
      <c r="A367" s="226"/>
      <c r="B367" s="226"/>
      <c r="C367" s="226"/>
      <c r="D367" s="226"/>
      <c r="E367" s="226"/>
      <c r="F367" s="226"/>
      <c r="G367" s="226"/>
      <c r="H367" s="226"/>
      <c r="I367" s="226"/>
      <c r="J367" s="226"/>
      <c r="K367" s="226"/>
      <c r="L367" s="226"/>
      <c r="M367" s="226"/>
      <c r="N367" s="226"/>
      <c r="O367" s="226"/>
      <c r="P367" s="226"/>
      <c r="Q367" s="226"/>
      <c r="R367" s="226"/>
      <c r="S367" s="226"/>
      <c r="T367" s="226"/>
      <c r="U367" s="226"/>
      <c r="V367" s="226"/>
      <c r="W367" s="226"/>
      <c r="X367" s="226"/>
    </row>
    <row r="368" spans="1:24" ht="14.25" x14ac:dyDescent="0.2">
      <c r="A368" s="226"/>
      <c r="B368" s="226"/>
      <c r="C368" s="226"/>
      <c r="D368" s="226"/>
      <c r="E368" s="226"/>
      <c r="F368" s="226"/>
      <c r="G368" s="226"/>
      <c r="H368" s="226"/>
      <c r="I368" s="226"/>
      <c r="J368" s="226"/>
      <c r="K368" s="226"/>
      <c r="L368" s="226"/>
      <c r="M368" s="226"/>
      <c r="N368" s="226"/>
      <c r="O368" s="226"/>
      <c r="P368" s="226"/>
      <c r="Q368" s="226"/>
      <c r="R368" s="226"/>
      <c r="S368" s="226"/>
      <c r="T368" s="226"/>
      <c r="U368" s="226"/>
      <c r="V368" s="226"/>
      <c r="W368" s="226"/>
      <c r="X368" s="226"/>
    </row>
    <row r="369" spans="1:24" ht="14.25" x14ac:dyDescent="0.2">
      <c r="A369" s="226"/>
      <c r="B369" s="226"/>
      <c r="C369" s="226"/>
      <c r="D369" s="226"/>
      <c r="E369" s="226"/>
      <c r="F369" s="226"/>
      <c r="G369" s="226"/>
      <c r="H369" s="226"/>
      <c r="I369" s="226"/>
      <c r="J369" s="226"/>
      <c r="K369" s="226"/>
      <c r="L369" s="226"/>
      <c r="M369" s="226"/>
      <c r="N369" s="226"/>
      <c r="O369" s="226"/>
      <c r="P369" s="226"/>
      <c r="Q369" s="226"/>
      <c r="R369" s="226"/>
      <c r="S369" s="226"/>
      <c r="T369" s="226"/>
      <c r="U369" s="226"/>
      <c r="V369" s="226"/>
      <c r="W369" s="226"/>
      <c r="X369" s="226"/>
    </row>
    <row r="370" spans="1:24" ht="14.25" x14ac:dyDescent="0.2">
      <c r="A370" s="226"/>
      <c r="B370" s="226"/>
      <c r="C370" s="226"/>
      <c r="D370" s="226"/>
      <c r="E370" s="226"/>
      <c r="F370" s="226"/>
      <c r="G370" s="226"/>
      <c r="H370" s="226"/>
      <c r="I370" s="226"/>
      <c r="J370" s="226"/>
      <c r="K370" s="226"/>
      <c r="L370" s="226"/>
      <c r="M370" s="226"/>
      <c r="N370" s="226"/>
      <c r="O370" s="226"/>
      <c r="P370" s="226"/>
      <c r="Q370" s="226"/>
      <c r="R370" s="226"/>
      <c r="S370" s="226"/>
      <c r="T370" s="226"/>
      <c r="U370" s="226"/>
      <c r="V370" s="226"/>
      <c r="W370" s="226"/>
      <c r="X370" s="226"/>
    </row>
    <row r="371" spans="1:24" ht="14.25" x14ac:dyDescent="0.2">
      <c r="A371" s="226"/>
      <c r="B371" s="226"/>
      <c r="C371" s="226"/>
      <c r="D371" s="226"/>
      <c r="E371" s="226"/>
      <c r="F371" s="226"/>
      <c r="G371" s="226"/>
      <c r="H371" s="226"/>
      <c r="I371" s="226"/>
      <c r="J371" s="226"/>
      <c r="K371" s="226"/>
      <c r="L371" s="226"/>
      <c r="M371" s="226"/>
      <c r="N371" s="226"/>
      <c r="O371" s="226"/>
      <c r="P371" s="226"/>
      <c r="Q371" s="226"/>
      <c r="R371" s="226"/>
      <c r="S371" s="226"/>
      <c r="T371" s="226"/>
      <c r="U371" s="226"/>
      <c r="V371" s="226"/>
      <c r="W371" s="226"/>
      <c r="X371" s="226"/>
    </row>
    <row r="372" spans="1:24" ht="14.25" x14ac:dyDescent="0.2">
      <c r="A372" s="226"/>
      <c r="B372" s="226"/>
      <c r="C372" s="226"/>
      <c r="D372" s="226"/>
      <c r="E372" s="226"/>
      <c r="F372" s="226"/>
      <c r="G372" s="226"/>
      <c r="H372" s="226"/>
      <c r="I372" s="226"/>
      <c r="J372" s="226"/>
      <c r="K372" s="226"/>
      <c r="L372" s="226"/>
      <c r="M372" s="226"/>
      <c r="N372" s="226"/>
      <c r="O372" s="226"/>
      <c r="P372" s="226"/>
      <c r="Q372" s="226"/>
      <c r="R372" s="226"/>
      <c r="S372" s="226"/>
      <c r="T372" s="226"/>
      <c r="U372" s="226"/>
      <c r="V372" s="226"/>
      <c r="W372" s="226"/>
      <c r="X372" s="226"/>
    </row>
    <row r="373" spans="1:24" ht="14.25" x14ac:dyDescent="0.2">
      <c r="A373" s="226"/>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row>
    <row r="374" spans="1:24" ht="14.25" x14ac:dyDescent="0.2">
      <c r="A374" s="226"/>
      <c r="B374" s="226"/>
      <c r="C374" s="226"/>
      <c r="D374" s="226"/>
      <c r="E374" s="226"/>
      <c r="F374" s="226"/>
      <c r="G374" s="226"/>
      <c r="H374" s="226"/>
      <c r="I374" s="226"/>
      <c r="J374" s="226"/>
      <c r="K374" s="226"/>
      <c r="L374" s="226"/>
      <c r="M374" s="226"/>
      <c r="N374" s="226"/>
      <c r="O374" s="226"/>
      <c r="P374" s="226"/>
      <c r="Q374" s="226"/>
      <c r="R374" s="226"/>
      <c r="S374" s="226"/>
      <c r="T374" s="226"/>
      <c r="U374" s="226"/>
      <c r="V374" s="226"/>
      <c r="W374" s="226"/>
      <c r="X374" s="226"/>
    </row>
    <row r="375" spans="1:24" ht="14.25" x14ac:dyDescent="0.2">
      <c r="A375" s="226"/>
      <c r="B375" s="226"/>
      <c r="C375" s="226"/>
      <c r="D375" s="226"/>
      <c r="E375" s="226"/>
      <c r="F375" s="226"/>
      <c r="G375" s="226"/>
      <c r="H375" s="226"/>
      <c r="I375" s="226"/>
      <c r="J375" s="226"/>
      <c r="K375" s="226"/>
      <c r="L375" s="226"/>
      <c r="M375" s="226"/>
      <c r="N375" s="226"/>
      <c r="O375" s="226"/>
      <c r="P375" s="226"/>
      <c r="Q375" s="226"/>
      <c r="R375" s="226"/>
      <c r="S375" s="226"/>
      <c r="T375" s="226"/>
      <c r="U375" s="226"/>
      <c r="V375" s="226"/>
      <c r="W375" s="226"/>
      <c r="X375" s="226"/>
    </row>
    <row r="376" spans="1:24" ht="14.25" x14ac:dyDescent="0.2">
      <c r="A376" s="226"/>
      <c r="B376" s="226"/>
      <c r="C376" s="226"/>
      <c r="D376" s="226"/>
      <c r="E376" s="226"/>
      <c r="F376" s="226"/>
      <c r="G376" s="226"/>
      <c r="H376" s="226"/>
      <c r="I376" s="226"/>
      <c r="J376" s="226"/>
      <c r="K376" s="226"/>
      <c r="L376" s="226"/>
      <c r="M376" s="226"/>
      <c r="N376" s="226"/>
      <c r="O376" s="226"/>
      <c r="P376" s="226"/>
      <c r="Q376" s="226"/>
      <c r="R376" s="226"/>
      <c r="S376" s="226"/>
      <c r="T376" s="226"/>
      <c r="U376" s="226"/>
      <c r="V376" s="226"/>
      <c r="W376" s="226"/>
      <c r="X376" s="226"/>
    </row>
    <row r="377" spans="1:24" ht="14.25" x14ac:dyDescent="0.2">
      <c r="A377" s="226"/>
      <c r="B377" s="226"/>
      <c r="C377" s="226"/>
      <c r="D377" s="226"/>
      <c r="E377" s="226"/>
      <c r="F377" s="226"/>
      <c r="G377" s="226"/>
      <c r="H377" s="226"/>
      <c r="I377" s="226"/>
      <c r="J377" s="226"/>
      <c r="K377" s="226"/>
      <c r="L377" s="226"/>
      <c r="M377" s="226"/>
      <c r="N377" s="226"/>
      <c r="O377" s="226"/>
      <c r="P377" s="226"/>
      <c r="Q377" s="226"/>
      <c r="R377" s="226"/>
      <c r="S377" s="226"/>
      <c r="T377" s="226"/>
      <c r="U377" s="226"/>
      <c r="V377" s="226"/>
      <c r="W377" s="226"/>
      <c r="X377" s="226"/>
    </row>
    <row r="378" spans="1:24" ht="14.25" x14ac:dyDescent="0.2">
      <c r="A378" s="226"/>
      <c r="B378" s="226"/>
      <c r="C378" s="226"/>
      <c r="D378" s="226"/>
      <c r="E378" s="226"/>
      <c r="F378" s="226"/>
      <c r="G378" s="226"/>
      <c r="H378" s="226"/>
      <c r="I378" s="226"/>
      <c r="J378" s="226"/>
      <c r="K378" s="226"/>
      <c r="L378" s="226"/>
      <c r="M378" s="226"/>
      <c r="N378" s="226"/>
      <c r="O378" s="226"/>
      <c r="P378" s="226"/>
      <c r="Q378" s="226"/>
      <c r="R378" s="226"/>
      <c r="S378" s="226"/>
      <c r="T378" s="226"/>
      <c r="U378" s="226"/>
      <c r="V378" s="226"/>
      <c r="W378" s="226"/>
      <c r="X378" s="226"/>
    </row>
    <row r="379" spans="1:24" ht="14.25" x14ac:dyDescent="0.2">
      <c r="A379" s="226"/>
      <c r="B379" s="226"/>
      <c r="C379" s="226"/>
      <c r="D379" s="226"/>
      <c r="E379" s="226"/>
      <c r="F379" s="226"/>
      <c r="G379" s="226"/>
      <c r="H379" s="226"/>
      <c r="I379" s="226"/>
      <c r="J379" s="226"/>
      <c r="K379" s="226"/>
      <c r="L379" s="226"/>
      <c r="M379" s="226"/>
      <c r="N379" s="226"/>
      <c r="O379" s="226"/>
      <c r="P379" s="226"/>
      <c r="Q379" s="226"/>
      <c r="R379" s="226"/>
      <c r="S379" s="226"/>
      <c r="T379" s="226"/>
      <c r="U379" s="226"/>
      <c r="V379" s="226"/>
      <c r="W379" s="226"/>
      <c r="X379" s="226"/>
    </row>
    <row r="380" spans="1:24" ht="14.25" x14ac:dyDescent="0.2">
      <c r="A380" s="226"/>
      <c r="B380" s="226"/>
      <c r="C380" s="226"/>
      <c r="D380" s="226"/>
      <c r="E380" s="226"/>
      <c r="F380" s="226"/>
      <c r="G380" s="226"/>
      <c r="H380" s="226"/>
      <c r="I380" s="226"/>
      <c r="J380" s="226"/>
      <c r="K380" s="226"/>
      <c r="L380" s="226"/>
      <c r="M380" s="226"/>
      <c r="N380" s="226"/>
      <c r="O380" s="226"/>
      <c r="P380" s="226"/>
      <c r="Q380" s="226"/>
      <c r="R380" s="226"/>
      <c r="S380" s="226"/>
      <c r="T380" s="226"/>
      <c r="U380" s="226"/>
      <c r="V380" s="226"/>
      <c r="W380" s="226"/>
      <c r="X380" s="226"/>
    </row>
    <row r="381" spans="1:24" ht="14.25" x14ac:dyDescent="0.2">
      <c r="A381" s="226"/>
      <c r="B381" s="226"/>
      <c r="C381" s="226"/>
      <c r="D381" s="226"/>
      <c r="E381" s="226"/>
      <c r="F381" s="226"/>
      <c r="G381" s="226"/>
      <c r="H381" s="226"/>
      <c r="I381" s="226"/>
      <c r="J381" s="226"/>
      <c r="K381" s="226"/>
      <c r="L381" s="226"/>
      <c r="M381" s="226"/>
      <c r="N381" s="226"/>
      <c r="O381" s="226"/>
      <c r="P381" s="226"/>
      <c r="Q381" s="226"/>
      <c r="R381" s="226"/>
      <c r="S381" s="226"/>
      <c r="T381" s="226"/>
      <c r="U381" s="226"/>
      <c r="V381" s="226"/>
      <c r="W381" s="226"/>
      <c r="X381" s="226"/>
    </row>
    <row r="382" spans="1:24" ht="14.25" x14ac:dyDescent="0.2">
      <c r="A382" s="226"/>
      <c r="B382" s="226"/>
      <c r="C382" s="226"/>
      <c r="D382" s="226"/>
      <c r="E382" s="226"/>
      <c r="F382" s="226"/>
      <c r="G382" s="226"/>
      <c r="H382" s="226"/>
      <c r="I382" s="226"/>
      <c r="J382" s="226"/>
      <c r="K382" s="226"/>
      <c r="L382" s="226"/>
      <c r="M382" s="226"/>
      <c r="N382" s="226"/>
      <c r="O382" s="226"/>
      <c r="P382" s="226"/>
      <c r="Q382" s="226"/>
      <c r="R382" s="226"/>
      <c r="S382" s="226"/>
      <c r="T382" s="226"/>
      <c r="U382" s="226"/>
      <c r="V382" s="226"/>
      <c r="W382" s="226"/>
      <c r="X382" s="226"/>
    </row>
    <row r="383" spans="1:24" ht="14.25" x14ac:dyDescent="0.2">
      <c r="A383" s="226"/>
      <c r="B383" s="226"/>
      <c r="C383" s="226"/>
      <c r="D383" s="226"/>
      <c r="E383" s="226"/>
      <c r="F383" s="226"/>
      <c r="G383" s="226"/>
      <c r="H383" s="226"/>
      <c r="I383" s="226"/>
      <c r="J383" s="226"/>
      <c r="K383" s="226"/>
      <c r="L383" s="226"/>
      <c r="M383" s="226"/>
      <c r="N383" s="226"/>
      <c r="O383" s="226"/>
      <c r="P383" s="226"/>
      <c r="Q383" s="226"/>
      <c r="R383" s="226"/>
      <c r="S383" s="226"/>
      <c r="T383" s="226"/>
      <c r="U383" s="226"/>
      <c r="V383" s="226"/>
      <c r="W383" s="226"/>
      <c r="X383" s="226"/>
    </row>
    <row r="384" spans="1:24" ht="14.25" x14ac:dyDescent="0.2">
      <c r="A384" s="226"/>
      <c r="B384" s="226"/>
      <c r="C384" s="226"/>
      <c r="D384" s="226"/>
      <c r="E384" s="226"/>
      <c r="F384" s="226"/>
      <c r="G384" s="226"/>
      <c r="H384" s="226"/>
      <c r="I384" s="226"/>
      <c r="J384" s="226"/>
      <c r="K384" s="226"/>
      <c r="L384" s="226"/>
      <c r="M384" s="226"/>
      <c r="N384" s="226"/>
      <c r="O384" s="226"/>
      <c r="P384" s="226"/>
      <c r="Q384" s="226"/>
      <c r="R384" s="226"/>
      <c r="S384" s="226"/>
      <c r="T384" s="226"/>
      <c r="U384" s="226"/>
      <c r="V384" s="226"/>
      <c r="W384" s="226"/>
      <c r="X384" s="226"/>
    </row>
    <row r="385" spans="1:24" ht="14.25" x14ac:dyDescent="0.2">
      <c r="A385" s="226"/>
      <c r="B385" s="226"/>
      <c r="C385" s="226"/>
      <c r="D385" s="226"/>
      <c r="E385" s="226"/>
      <c r="F385" s="226"/>
      <c r="G385" s="226"/>
      <c r="H385" s="226"/>
      <c r="I385" s="226"/>
      <c r="J385" s="226"/>
      <c r="K385" s="226"/>
      <c r="L385" s="226"/>
      <c r="M385" s="226"/>
      <c r="N385" s="226"/>
      <c r="O385" s="226"/>
      <c r="P385" s="226"/>
      <c r="Q385" s="226"/>
      <c r="R385" s="226"/>
      <c r="S385" s="226"/>
      <c r="T385" s="226"/>
      <c r="U385" s="226"/>
      <c r="V385" s="226"/>
      <c r="W385" s="226"/>
      <c r="X385" s="226"/>
    </row>
    <row r="386" spans="1:24" ht="14.25" x14ac:dyDescent="0.2">
      <c r="A386" s="226"/>
      <c r="B386" s="226"/>
      <c r="C386" s="226"/>
      <c r="D386" s="226"/>
      <c r="E386" s="226"/>
      <c r="F386" s="226"/>
      <c r="G386" s="226"/>
      <c r="H386" s="226"/>
      <c r="I386" s="226"/>
      <c r="J386" s="226"/>
      <c r="K386" s="226"/>
      <c r="L386" s="226"/>
      <c r="M386" s="226"/>
      <c r="N386" s="226"/>
      <c r="O386" s="226"/>
      <c r="P386" s="226"/>
      <c r="Q386" s="226"/>
      <c r="R386" s="226"/>
      <c r="S386" s="226"/>
      <c r="T386" s="226"/>
      <c r="U386" s="226"/>
      <c r="V386" s="226"/>
      <c r="W386" s="226"/>
      <c r="X386" s="226"/>
    </row>
    <row r="387" spans="1:24" ht="14.25" x14ac:dyDescent="0.2">
      <c r="A387" s="226"/>
      <c r="B387" s="226"/>
      <c r="C387" s="226"/>
      <c r="D387" s="226"/>
      <c r="E387" s="226"/>
      <c r="F387" s="226"/>
      <c r="G387" s="226"/>
      <c r="H387" s="226"/>
      <c r="I387" s="226"/>
      <c r="J387" s="226"/>
      <c r="K387" s="226"/>
      <c r="L387" s="226"/>
      <c r="M387" s="226"/>
      <c r="N387" s="226"/>
      <c r="O387" s="226"/>
      <c r="P387" s="226"/>
      <c r="Q387" s="226"/>
      <c r="R387" s="226"/>
      <c r="S387" s="226"/>
      <c r="T387" s="226"/>
      <c r="U387" s="226"/>
      <c r="V387" s="226"/>
      <c r="W387" s="226"/>
      <c r="X387" s="226"/>
    </row>
    <row r="388" spans="1:24" ht="14.25" x14ac:dyDescent="0.2">
      <c r="A388" s="226"/>
      <c r="B388" s="226"/>
      <c r="C388" s="226"/>
      <c r="D388" s="226"/>
      <c r="E388" s="226"/>
      <c r="F388" s="226"/>
      <c r="G388" s="226"/>
      <c r="H388" s="226"/>
      <c r="I388" s="226"/>
      <c r="J388" s="226"/>
      <c r="K388" s="226"/>
      <c r="L388" s="226"/>
      <c r="M388" s="226"/>
      <c r="N388" s="226"/>
      <c r="O388" s="226"/>
      <c r="P388" s="226"/>
      <c r="Q388" s="226"/>
      <c r="R388" s="226"/>
      <c r="S388" s="226"/>
      <c r="T388" s="226"/>
      <c r="U388" s="226"/>
      <c r="V388" s="226"/>
      <c r="W388" s="226"/>
      <c r="X388" s="226"/>
    </row>
    <row r="389" spans="1:24" ht="14.25" x14ac:dyDescent="0.2">
      <c r="A389" s="226"/>
      <c r="B389" s="226"/>
      <c r="C389" s="226"/>
      <c r="D389" s="226"/>
      <c r="E389" s="226"/>
      <c r="F389" s="226"/>
      <c r="G389" s="226"/>
      <c r="H389" s="226"/>
      <c r="I389" s="226"/>
      <c r="J389" s="226"/>
      <c r="K389" s="226"/>
      <c r="L389" s="226"/>
      <c r="M389" s="226"/>
      <c r="N389" s="226"/>
      <c r="O389" s="226"/>
      <c r="P389" s="226"/>
      <c r="Q389" s="226"/>
      <c r="R389" s="226"/>
      <c r="S389" s="226"/>
      <c r="T389" s="226"/>
      <c r="U389" s="226"/>
      <c r="V389" s="226"/>
      <c r="W389" s="226"/>
      <c r="X389" s="226"/>
    </row>
    <row r="390" spans="1:24" ht="14.25" x14ac:dyDescent="0.2">
      <c r="A390" s="226"/>
      <c r="B390" s="226"/>
      <c r="C390" s="226"/>
      <c r="D390" s="226"/>
      <c r="E390" s="226"/>
      <c r="F390" s="226"/>
      <c r="G390" s="226"/>
      <c r="H390" s="226"/>
      <c r="I390" s="226"/>
      <c r="J390" s="226"/>
      <c r="K390" s="226"/>
      <c r="L390" s="226"/>
      <c r="M390" s="226"/>
      <c r="N390" s="226"/>
      <c r="O390" s="226"/>
      <c r="P390" s="226"/>
      <c r="Q390" s="226"/>
      <c r="R390" s="226"/>
      <c r="S390" s="226"/>
      <c r="T390" s="226"/>
      <c r="U390" s="226"/>
      <c r="V390" s="226"/>
      <c r="W390" s="226"/>
      <c r="X390" s="226"/>
    </row>
    <row r="391" spans="1:24" ht="14.25" x14ac:dyDescent="0.2">
      <c r="A391" s="226"/>
      <c r="B391" s="226"/>
      <c r="C391" s="226"/>
      <c r="D391" s="226"/>
      <c r="E391" s="226"/>
      <c r="F391" s="226"/>
      <c r="G391" s="226"/>
      <c r="H391" s="226"/>
      <c r="I391" s="226"/>
      <c r="J391" s="226"/>
      <c r="K391" s="226"/>
      <c r="L391" s="226"/>
      <c r="M391" s="226"/>
      <c r="N391" s="226"/>
      <c r="O391" s="226"/>
      <c r="P391" s="226"/>
      <c r="Q391" s="226"/>
      <c r="R391" s="226"/>
      <c r="S391" s="226"/>
      <c r="T391" s="226"/>
      <c r="U391" s="226"/>
      <c r="V391" s="226"/>
      <c r="W391" s="226"/>
      <c r="X391" s="226"/>
    </row>
    <row r="392" spans="1:24" ht="14.25" x14ac:dyDescent="0.2">
      <c r="A392" s="226"/>
      <c r="B392" s="226"/>
      <c r="C392" s="226"/>
      <c r="D392" s="226"/>
      <c r="E392" s="226"/>
      <c r="F392" s="226"/>
      <c r="G392" s="226"/>
      <c r="H392" s="226"/>
      <c r="I392" s="226"/>
      <c r="J392" s="226"/>
      <c r="K392" s="226"/>
      <c r="L392" s="226"/>
      <c r="M392" s="226"/>
      <c r="N392" s="226"/>
      <c r="O392" s="226"/>
      <c r="P392" s="226"/>
      <c r="Q392" s="226"/>
      <c r="R392" s="226"/>
      <c r="S392" s="226"/>
      <c r="T392" s="226"/>
      <c r="U392" s="226"/>
      <c r="V392" s="226"/>
      <c r="W392" s="226"/>
      <c r="X392" s="226"/>
    </row>
    <row r="393" spans="1:24" ht="14.25" x14ac:dyDescent="0.2">
      <c r="A393" s="226"/>
      <c r="B393" s="226"/>
      <c r="C393" s="226"/>
      <c r="D393" s="226"/>
      <c r="E393" s="226"/>
      <c r="F393" s="226"/>
      <c r="G393" s="226"/>
      <c r="H393" s="226"/>
      <c r="I393" s="226"/>
      <c r="J393" s="226"/>
      <c r="K393" s="226"/>
      <c r="L393" s="226"/>
      <c r="M393" s="226"/>
      <c r="N393" s="226"/>
      <c r="O393" s="226"/>
      <c r="P393" s="226"/>
      <c r="Q393" s="226"/>
      <c r="R393" s="226"/>
      <c r="S393" s="226"/>
      <c r="T393" s="226"/>
      <c r="U393" s="226"/>
      <c r="V393" s="226"/>
      <c r="W393" s="226"/>
      <c r="X393" s="226"/>
    </row>
    <row r="394" spans="1:24" ht="14.25" x14ac:dyDescent="0.2">
      <c r="A394" s="226"/>
      <c r="B394" s="226"/>
      <c r="C394" s="226"/>
      <c r="D394" s="226"/>
      <c r="E394" s="226"/>
      <c r="F394" s="226"/>
      <c r="G394" s="226"/>
      <c r="H394" s="226"/>
      <c r="I394" s="226"/>
      <c r="J394" s="226"/>
      <c r="K394" s="226"/>
      <c r="L394" s="226"/>
      <c r="M394" s="226"/>
      <c r="N394" s="226"/>
      <c r="O394" s="226"/>
      <c r="P394" s="226"/>
      <c r="Q394" s="226"/>
      <c r="R394" s="226"/>
      <c r="S394" s="226"/>
      <c r="T394" s="226"/>
      <c r="U394" s="226"/>
      <c r="V394" s="226"/>
      <c r="W394" s="226"/>
      <c r="X394" s="226"/>
    </row>
    <row r="395" spans="1:24" ht="14.25" x14ac:dyDescent="0.2">
      <c r="A395" s="226"/>
      <c r="B395" s="226"/>
      <c r="C395" s="226"/>
      <c r="D395" s="226"/>
      <c r="E395" s="226"/>
      <c r="F395" s="226"/>
      <c r="G395" s="226"/>
      <c r="H395" s="226"/>
      <c r="I395" s="226"/>
      <c r="J395" s="226"/>
      <c r="K395" s="226"/>
      <c r="L395" s="226"/>
      <c r="M395" s="226"/>
      <c r="N395" s="226"/>
      <c r="O395" s="226"/>
      <c r="P395" s="226"/>
      <c r="Q395" s="226"/>
      <c r="R395" s="226"/>
      <c r="S395" s="226"/>
      <c r="T395" s="226"/>
      <c r="U395" s="226"/>
      <c r="V395" s="226"/>
      <c r="W395" s="226"/>
      <c r="X395" s="226"/>
    </row>
    <row r="396" spans="1:24" ht="14.25" x14ac:dyDescent="0.2">
      <c r="A396" s="226"/>
      <c r="B396" s="226"/>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row>
    <row r="397" spans="1:24" ht="14.25" x14ac:dyDescent="0.2">
      <c r="A397" s="226"/>
      <c r="B397" s="226"/>
      <c r="C397" s="226"/>
      <c r="D397" s="226"/>
      <c r="E397" s="226"/>
      <c r="F397" s="226"/>
      <c r="G397" s="226"/>
      <c r="H397" s="226"/>
      <c r="I397" s="226"/>
      <c r="J397" s="226"/>
      <c r="K397" s="226"/>
      <c r="L397" s="226"/>
      <c r="M397" s="226"/>
      <c r="N397" s="226"/>
      <c r="O397" s="226"/>
      <c r="P397" s="226"/>
      <c r="Q397" s="226"/>
      <c r="R397" s="226"/>
      <c r="S397" s="226"/>
      <c r="T397" s="226"/>
      <c r="U397" s="226"/>
      <c r="V397" s="226"/>
      <c r="W397" s="226"/>
      <c r="X397" s="226"/>
    </row>
    <row r="398" spans="1:24" ht="14.25" x14ac:dyDescent="0.2">
      <c r="A398" s="226"/>
      <c r="B398" s="226"/>
      <c r="C398" s="226"/>
      <c r="D398" s="226"/>
      <c r="E398" s="226"/>
      <c r="F398" s="226"/>
      <c r="G398" s="226"/>
      <c r="H398" s="226"/>
      <c r="I398" s="226"/>
      <c r="J398" s="226"/>
      <c r="K398" s="226"/>
      <c r="L398" s="226"/>
      <c r="M398" s="226"/>
      <c r="N398" s="226"/>
      <c r="O398" s="226"/>
      <c r="P398" s="226"/>
      <c r="Q398" s="226"/>
      <c r="R398" s="226"/>
      <c r="S398" s="226"/>
      <c r="T398" s="226"/>
      <c r="U398" s="226"/>
      <c r="V398" s="226"/>
      <c r="W398" s="226"/>
      <c r="X398" s="226"/>
    </row>
    <row r="399" spans="1:24" ht="14.25" x14ac:dyDescent="0.2">
      <c r="A399" s="226"/>
      <c r="B399" s="226"/>
      <c r="C399" s="226"/>
      <c r="D399" s="226"/>
      <c r="E399" s="226"/>
      <c r="F399" s="226"/>
      <c r="G399" s="226"/>
      <c r="H399" s="226"/>
      <c r="I399" s="226"/>
      <c r="J399" s="226"/>
      <c r="K399" s="226"/>
      <c r="L399" s="226"/>
      <c r="M399" s="226"/>
      <c r="N399" s="226"/>
      <c r="O399" s="226"/>
      <c r="P399" s="226"/>
      <c r="Q399" s="226"/>
      <c r="R399" s="226"/>
      <c r="S399" s="226"/>
      <c r="T399" s="226"/>
      <c r="U399" s="226"/>
      <c r="V399" s="226"/>
      <c r="W399" s="226"/>
      <c r="X399" s="226"/>
    </row>
    <row r="400" spans="1:24" ht="14.25" x14ac:dyDescent="0.2">
      <c r="A400" s="226"/>
      <c r="B400" s="226"/>
      <c r="C400" s="226"/>
      <c r="D400" s="226"/>
      <c r="E400" s="226"/>
      <c r="F400" s="226"/>
      <c r="G400" s="226"/>
      <c r="H400" s="226"/>
      <c r="I400" s="226"/>
      <c r="J400" s="226"/>
      <c r="K400" s="226"/>
      <c r="L400" s="226"/>
      <c r="M400" s="226"/>
      <c r="N400" s="226"/>
      <c r="O400" s="226"/>
      <c r="P400" s="226"/>
      <c r="Q400" s="226"/>
      <c r="R400" s="226"/>
      <c r="S400" s="226"/>
      <c r="T400" s="226"/>
      <c r="U400" s="226"/>
      <c r="V400" s="226"/>
      <c r="W400" s="226"/>
      <c r="X400" s="226"/>
    </row>
    <row r="401" spans="1:24" ht="14.25" x14ac:dyDescent="0.2">
      <c r="A401" s="226"/>
      <c r="B401" s="226"/>
      <c r="C401" s="226"/>
      <c r="D401" s="226"/>
      <c r="E401" s="226"/>
      <c r="F401" s="226"/>
      <c r="G401" s="226"/>
      <c r="H401" s="226"/>
      <c r="I401" s="226"/>
      <c r="J401" s="226"/>
      <c r="K401" s="226"/>
      <c r="L401" s="226"/>
      <c r="M401" s="226"/>
      <c r="N401" s="226"/>
      <c r="O401" s="226"/>
      <c r="P401" s="226"/>
      <c r="Q401" s="226"/>
      <c r="R401" s="226"/>
      <c r="S401" s="226"/>
      <c r="T401" s="226"/>
      <c r="U401" s="226"/>
      <c r="V401" s="226"/>
      <c r="W401" s="226"/>
      <c r="X401" s="226"/>
    </row>
    <row r="402" spans="1:24" ht="14.25" x14ac:dyDescent="0.2">
      <c r="A402" s="226"/>
      <c r="B402" s="226"/>
      <c r="C402" s="226"/>
      <c r="D402" s="226"/>
      <c r="E402" s="226"/>
      <c r="F402" s="226"/>
      <c r="G402" s="226"/>
      <c r="H402" s="226"/>
      <c r="I402" s="226"/>
      <c r="J402" s="226"/>
      <c r="K402" s="226"/>
      <c r="L402" s="226"/>
      <c r="M402" s="226"/>
      <c r="N402" s="226"/>
      <c r="O402" s="226"/>
      <c r="P402" s="226"/>
      <c r="Q402" s="226"/>
      <c r="R402" s="226"/>
      <c r="S402" s="226"/>
      <c r="T402" s="226"/>
      <c r="U402" s="226"/>
      <c r="V402" s="226"/>
      <c r="W402" s="226"/>
      <c r="X402" s="226"/>
    </row>
    <row r="403" spans="1:24" ht="14.25" x14ac:dyDescent="0.2">
      <c r="A403" s="226"/>
      <c r="B403" s="226"/>
      <c r="C403" s="226"/>
      <c r="D403" s="226"/>
      <c r="E403" s="226"/>
      <c r="F403" s="226"/>
      <c r="G403" s="226"/>
      <c r="H403" s="226"/>
      <c r="I403" s="226"/>
      <c r="J403" s="226"/>
      <c r="K403" s="226"/>
      <c r="L403" s="226"/>
      <c r="M403" s="226"/>
      <c r="N403" s="226"/>
      <c r="O403" s="226"/>
      <c r="P403" s="226"/>
      <c r="Q403" s="226"/>
      <c r="R403" s="226"/>
      <c r="S403" s="226"/>
      <c r="T403" s="226"/>
      <c r="U403" s="226"/>
      <c r="V403" s="226"/>
      <c r="W403" s="226"/>
      <c r="X403" s="226"/>
    </row>
    <row r="404" spans="1:24" ht="14.25" x14ac:dyDescent="0.2">
      <c r="A404" s="226"/>
      <c r="B404" s="226"/>
      <c r="C404" s="226"/>
      <c r="D404" s="226"/>
      <c r="E404" s="226"/>
      <c r="F404" s="226"/>
      <c r="G404" s="226"/>
      <c r="H404" s="226"/>
      <c r="I404" s="226"/>
      <c r="J404" s="226"/>
      <c r="K404" s="226"/>
      <c r="L404" s="226"/>
      <c r="M404" s="226"/>
      <c r="N404" s="226"/>
      <c r="O404" s="226"/>
      <c r="P404" s="226"/>
      <c r="Q404" s="226"/>
      <c r="R404" s="226"/>
      <c r="S404" s="226"/>
      <c r="T404" s="226"/>
      <c r="U404" s="226"/>
      <c r="V404" s="226"/>
      <c r="W404" s="226"/>
      <c r="X404" s="226"/>
    </row>
    <row r="405" spans="1:24" ht="14.25" x14ac:dyDescent="0.2">
      <c r="A405" s="226"/>
      <c r="B405" s="226"/>
      <c r="C405" s="226"/>
      <c r="D405" s="226"/>
      <c r="E405" s="226"/>
      <c r="F405" s="226"/>
      <c r="G405" s="226"/>
      <c r="H405" s="226"/>
      <c r="I405" s="226"/>
      <c r="J405" s="226"/>
      <c r="K405" s="226"/>
      <c r="L405" s="226"/>
      <c r="M405" s="226"/>
      <c r="N405" s="226"/>
      <c r="O405" s="226"/>
      <c r="P405" s="226"/>
      <c r="Q405" s="226"/>
      <c r="R405" s="226"/>
      <c r="S405" s="226"/>
      <c r="T405" s="226"/>
      <c r="U405" s="226"/>
      <c r="V405" s="226"/>
      <c r="W405" s="226"/>
      <c r="X405" s="226"/>
    </row>
    <row r="406" spans="1:24" ht="14.25" x14ac:dyDescent="0.2">
      <c r="A406" s="226"/>
      <c r="B406" s="226"/>
      <c r="C406" s="226"/>
      <c r="D406" s="226"/>
      <c r="E406" s="226"/>
      <c r="F406" s="226"/>
      <c r="G406" s="226"/>
      <c r="H406" s="226"/>
      <c r="I406" s="226"/>
      <c r="J406" s="226"/>
      <c r="K406" s="226"/>
      <c r="L406" s="226"/>
      <c r="M406" s="226"/>
      <c r="N406" s="226"/>
      <c r="O406" s="226"/>
      <c r="P406" s="226"/>
      <c r="Q406" s="226"/>
      <c r="R406" s="226"/>
      <c r="S406" s="226"/>
      <c r="T406" s="226"/>
      <c r="U406" s="226"/>
      <c r="V406" s="226"/>
      <c r="W406" s="226"/>
      <c r="X406" s="226"/>
    </row>
    <row r="407" spans="1:24" ht="14.25" x14ac:dyDescent="0.2">
      <c r="A407" s="226"/>
      <c r="B407" s="226"/>
      <c r="C407" s="226"/>
      <c r="D407" s="226"/>
      <c r="E407" s="226"/>
      <c r="F407" s="226"/>
      <c r="G407" s="226"/>
      <c r="H407" s="226"/>
      <c r="I407" s="226"/>
      <c r="J407" s="226"/>
      <c r="K407" s="226"/>
      <c r="L407" s="226"/>
      <c r="M407" s="226"/>
      <c r="N407" s="226"/>
      <c r="O407" s="226"/>
      <c r="P407" s="226"/>
      <c r="Q407" s="226"/>
      <c r="R407" s="226"/>
      <c r="S407" s="226"/>
      <c r="T407" s="226"/>
      <c r="U407" s="226"/>
      <c r="V407" s="226"/>
      <c r="W407" s="226"/>
      <c r="X407" s="226"/>
    </row>
    <row r="408" spans="1:24" ht="14.25" x14ac:dyDescent="0.2">
      <c r="A408" s="226"/>
      <c r="B408" s="226"/>
      <c r="C408" s="226"/>
      <c r="D408" s="226"/>
      <c r="E408" s="226"/>
      <c r="F408" s="226"/>
      <c r="G408" s="226"/>
      <c r="H408" s="226"/>
      <c r="I408" s="226"/>
      <c r="J408" s="226"/>
      <c r="K408" s="226"/>
      <c r="L408" s="226"/>
      <c r="M408" s="226"/>
      <c r="N408" s="226"/>
      <c r="O408" s="226"/>
      <c r="P408" s="226"/>
      <c r="Q408" s="226"/>
      <c r="R408" s="226"/>
      <c r="S408" s="226"/>
      <c r="T408" s="226"/>
      <c r="U408" s="226"/>
      <c r="V408" s="226"/>
      <c r="W408" s="226"/>
      <c r="X408" s="226"/>
    </row>
    <row r="409" spans="1:24" ht="14.25" x14ac:dyDescent="0.2">
      <c r="A409" s="226"/>
      <c r="B409" s="226"/>
      <c r="C409" s="226"/>
      <c r="D409" s="226"/>
      <c r="E409" s="226"/>
      <c r="F409" s="226"/>
      <c r="G409" s="226"/>
      <c r="H409" s="226"/>
      <c r="I409" s="226"/>
      <c r="J409" s="226"/>
      <c r="K409" s="226"/>
      <c r="L409" s="226"/>
      <c r="M409" s="226"/>
      <c r="N409" s="226"/>
      <c r="O409" s="226"/>
      <c r="P409" s="226"/>
      <c r="Q409" s="226"/>
      <c r="R409" s="226"/>
      <c r="S409" s="226"/>
      <c r="T409" s="226"/>
      <c r="U409" s="226"/>
      <c r="V409" s="226"/>
      <c r="W409" s="226"/>
      <c r="X409" s="226"/>
    </row>
    <row r="410" spans="1:24" ht="14.25" x14ac:dyDescent="0.2">
      <c r="A410" s="226"/>
      <c r="B410" s="226"/>
      <c r="C410" s="226"/>
      <c r="D410" s="226"/>
      <c r="E410" s="226"/>
      <c r="F410" s="226"/>
      <c r="G410" s="226"/>
      <c r="H410" s="226"/>
      <c r="I410" s="226"/>
      <c r="J410" s="226"/>
      <c r="K410" s="226"/>
      <c r="L410" s="226"/>
      <c r="M410" s="226"/>
      <c r="N410" s="226"/>
      <c r="O410" s="226"/>
      <c r="P410" s="226"/>
      <c r="Q410" s="226"/>
      <c r="R410" s="226"/>
      <c r="S410" s="226"/>
      <c r="T410" s="226"/>
      <c r="U410" s="226"/>
      <c r="V410" s="226"/>
      <c r="W410" s="226"/>
      <c r="X410" s="226"/>
    </row>
    <row r="411" spans="1:24" ht="14.25" x14ac:dyDescent="0.2">
      <c r="A411" s="226"/>
      <c r="B411" s="226"/>
      <c r="C411" s="226"/>
      <c r="D411" s="226"/>
      <c r="E411" s="226"/>
      <c r="F411" s="226"/>
      <c r="G411" s="226"/>
      <c r="H411" s="226"/>
      <c r="I411" s="226"/>
      <c r="J411" s="226"/>
      <c r="K411" s="226"/>
      <c r="L411" s="226"/>
      <c r="M411" s="226"/>
      <c r="N411" s="226"/>
      <c r="O411" s="226"/>
      <c r="P411" s="226"/>
      <c r="Q411" s="226"/>
      <c r="R411" s="226"/>
      <c r="S411" s="226"/>
      <c r="T411" s="226"/>
      <c r="U411" s="226"/>
      <c r="V411" s="226"/>
      <c r="W411" s="226"/>
      <c r="X411" s="226"/>
    </row>
    <row r="412" spans="1:24" ht="14.25" x14ac:dyDescent="0.2">
      <c r="A412" s="226"/>
      <c r="B412" s="226"/>
      <c r="C412" s="226"/>
      <c r="D412" s="226"/>
      <c r="E412" s="226"/>
      <c r="F412" s="226"/>
      <c r="G412" s="226"/>
      <c r="H412" s="226"/>
      <c r="I412" s="226"/>
      <c r="J412" s="226"/>
      <c r="K412" s="226"/>
      <c r="L412" s="226"/>
      <c r="M412" s="226"/>
      <c r="N412" s="226"/>
      <c r="O412" s="226"/>
      <c r="P412" s="226"/>
      <c r="Q412" s="226"/>
      <c r="R412" s="226"/>
      <c r="S412" s="226"/>
      <c r="T412" s="226"/>
      <c r="U412" s="226"/>
      <c r="V412" s="226"/>
      <c r="W412" s="226"/>
      <c r="X412" s="226"/>
    </row>
    <row r="413" spans="1:24" ht="14.25" x14ac:dyDescent="0.2">
      <c r="A413" s="226"/>
      <c r="B413" s="226"/>
      <c r="C413" s="226"/>
      <c r="D413" s="226"/>
      <c r="E413" s="226"/>
      <c r="F413" s="226"/>
      <c r="G413" s="226"/>
      <c r="H413" s="226"/>
      <c r="I413" s="226"/>
      <c r="J413" s="226"/>
      <c r="K413" s="226"/>
      <c r="L413" s="226"/>
      <c r="M413" s="226"/>
      <c r="N413" s="226"/>
      <c r="O413" s="226"/>
      <c r="P413" s="226"/>
      <c r="Q413" s="226"/>
      <c r="R413" s="226"/>
      <c r="S413" s="226"/>
      <c r="T413" s="226"/>
      <c r="U413" s="226"/>
      <c r="V413" s="226"/>
      <c r="W413" s="226"/>
      <c r="X413" s="226"/>
    </row>
    <row r="414" spans="1:24" ht="14.25" x14ac:dyDescent="0.2">
      <c r="A414" s="226"/>
      <c r="B414" s="226"/>
      <c r="C414" s="226"/>
      <c r="D414" s="226"/>
      <c r="E414" s="226"/>
      <c r="F414" s="226"/>
      <c r="G414" s="226"/>
      <c r="H414" s="226"/>
      <c r="I414" s="226"/>
      <c r="J414" s="226"/>
      <c r="K414" s="226"/>
      <c r="L414" s="226"/>
      <c r="M414" s="226"/>
      <c r="N414" s="226"/>
      <c r="O414" s="226"/>
      <c r="P414" s="226"/>
      <c r="Q414" s="226"/>
      <c r="R414" s="226"/>
      <c r="S414" s="226"/>
      <c r="T414" s="226"/>
      <c r="U414" s="226"/>
      <c r="V414" s="226"/>
      <c r="W414" s="226"/>
      <c r="X414" s="226"/>
    </row>
    <row r="415" spans="1:24" ht="14.25" x14ac:dyDescent="0.2">
      <c r="A415" s="226"/>
      <c r="B415" s="226"/>
      <c r="C415" s="226"/>
      <c r="D415" s="226"/>
      <c r="E415" s="226"/>
      <c r="F415" s="226"/>
      <c r="G415" s="226"/>
      <c r="H415" s="226"/>
      <c r="I415" s="226"/>
      <c r="J415" s="226"/>
      <c r="K415" s="226"/>
      <c r="L415" s="226"/>
      <c r="M415" s="226"/>
      <c r="N415" s="226"/>
      <c r="O415" s="226"/>
      <c r="P415" s="226"/>
      <c r="Q415" s="226"/>
      <c r="R415" s="226"/>
      <c r="S415" s="226"/>
      <c r="T415" s="226"/>
      <c r="U415" s="226"/>
      <c r="V415" s="226"/>
      <c r="W415" s="226"/>
      <c r="X415" s="226"/>
    </row>
    <row r="416" spans="1:24" ht="14.25" x14ac:dyDescent="0.2">
      <c r="A416" s="226"/>
      <c r="B416" s="226"/>
      <c r="C416" s="226"/>
      <c r="D416" s="226"/>
      <c r="E416" s="226"/>
      <c r="F416" s="226"/>
      <c r="G416" s="226"/>
      <c r="H416" s="226"/>
      <c r="I416" s="226"/>
      <c r="J416" s="226"/>
      <c r="K416" s="226"/>
      <c r="L416" s="226"/>
      <c r="M416" s="226"/>
      <c r="N416" s="226"/>
      <c r="O416" s="226"/>
      <c r="P416" s="226"/>
      <c r="Q416" s="226"/>
      <c r="R416" s="226"/>
      <c r="S416" s="226"/>
      <c r="T416" s="226"/>
      <c r="U416" s="226"/>
      <c r="V416" s="226"/>
      <c r="W416" s="226"/>
      <c r="X416" s="226"/>
    </row>
    <row r="417" spans="1:24" ht="14.25" x14ac:dyDescent="0.2">
      <c r="A417" s="226"/>
      <c r="B417" s="226"/>
      <c r="C417" s="226"/>
      <c r="D417" s="226"/>
      <c r="E417" s="226"/>
      <c r="F417" s="226"/>
      <c r="G417" s="226"/>
      <c r="H417" s="226"/>
      <c r="I417" s="226"/>
      <c r="J417" s="226"/>
      <c r="K417" s="226"/>
      <c r="L417" s="226"/>
      <c r="M417" s="226"/>
      <c r="N417" s="226"/>
      <c r="O417" s="226"/>
      <c r="P417" s="226"/>
      <c r="Q417" s="226"/>
      <c r="R417" s="226"/>
      <c r="S417" s="226"/>
      <c r="T417" s="226"/>
      <c r="U417" s="226"/>
      <c r="V417" s="226"/>
      <c r="W417" s="226"/>
      <c r="X417" s="226"/>
    </row>
    <row r="418" spans="1:24" ht="14.25" x14ac:dyDescent="0.2">
      <c r="A418" s="226"/>
      <c r="B418" s="226"/>
      <c r="C418" s="226"/>
      <c r="D418" s="226"/>
      <c r="E418" s="226"/>
      <c r="F418" s="226"/>
      <c r="G418" s="226"/>
      <c r="H418" s="226"/>
      <c r="I418" s="226"/>
      <c r="J418" s="226"/>
      <c r="K418" s="226"/>
      <c r="L418" s="226"/>
      <c r="M418" s="226"/>
      <c r="N418" s="226"/>
      <c r="O418" s="226"/>
      <c r="P418" s="226"/>
      <c r="Q418" s="226"/>
      <c r="R418" s="226"/>
      <c r="S418" s="226"/>
      <c r="T418" s="226"/>
      <c r="U418" s="226"/>
      <c r="V418" s="226"/>
      <c r="W418" s="226"/>
      <c r="X418" s="226"/>
    </row>
    <row r="419" spans="1:24" ht="14.25" x14ac:dyDescent="0.2">
      <c r="A419" s="226"/>
      <c r="B419" s="226"/>
      <c r="C419" s="226"/>
      <c r="D419" s="226"/>
      <c r="E419" s="226"/>
      <c r="F419" s="226"/>
      <c r="G419" s="226"/>
      <c r="H419" s="226"/>
      <c r="I419" s="226"/>
      <c r="J419" s="226"/>
      <c r="K419" s="226"/>
      <c r="L419" s="226"/>
      <c r="M419" s="226"/>
      <c r="N419" s="226"/>
      <c r="O419" s="226"/>
      <c r="P419" s="226"/>
      <c r="Q419" s="226"/>
      <c r="R419" s="226"/>
      <c r="S419" s="226"/>
      <c r="T419" s="226"/>
      <c r="U419" s="226"/>
      <c r="V419" s="226"/>
      <c r="W419" s="226"/>
      <c r="X419" s="226"/>
    </row>
    <row r="420" spans="1:24" ht="14.25" x14ac:dyDescent="0.2">
      <c r="A420" s="226"/>
      <c r="B420" s="226"/>
      <c r="C420" s="226"/>
      <c r="D420" s="226"/>
      <c r="E420" s="226"/>
      <c r="F420" s="226"/>
      <c r="G420" s="226"/>
      <c r="H420" s="226"/>
      <c r="I420" s="226"/>
      <c r="J420" s="226"/>
      <c r="K420" s="226"/>
      <c r="L420" s="226"/>
      <c r="M420" s="226"/>
      <c r="N420" s="226"/>
      <c r="O420" s="226"/>
      <c r="P420" s="226"/>
      <c r="Q420" s="226"/>
      <c r="R420" s="226"/>
      <c r="S420" s="226"/>
      <c r="T420" s="226"/>
      <c r="U420" s="226"/>
      <c r="V420" s="226"/>
      <c r="W420" s="226"/>
      <c r="X420" s="226"/>
    </row>
    <row r="421" spans="1:24" ht="14.25" x14ac:dyDescent="0.2">
      <c r="A421" s="226"/>
      <c r="B421" s="226"/>
      <c r="C421" s="226"/>
      <c r="D421" s="226"/>
      <c r="E421" s="226"/>
      <c r="F421" s="226"/>
      <c r="G421" s="226"/>
      <c r="H421" s="226"/>
      <c r="I421" s="226"/>
      <c r="J421" s="226"/>
      <c r="K421" s="226"/>
      <c r="L421" s="226"/>
      <c r="M421" s="226"/>
      <c r="N421" s="226"/>
      <c r="O421" s="226"/>
      <c r="P421" s="226"/>
      <c r="Q421" s="226"/>
      <c r="R421" s="226"/>
      <c r="S421" s="226"/>
      <c r="T421" s="226"/>
      <c r="U421" s="226"/>
      <c r="V421" s="226"/>
      <c r="W421" s="226"/>
      <c r="X421" s="226"/>
    </row>
    <row r="422" spans="1:24" ht="14.25" x14ac:dyDescent="0.2">
      <c r="A422" s="226"/>
      <c r="B422" s="226"/>
      <c r="C422" s="226"/>
      <c r="D422" s="226"/>
      <c r="E422" s="226"/>
      <c r="F422" s="226"/>
      <c r="G422" s="226"/>
      <c r="H422" s="226"/>
      <c r="I422" s="226"/>
      <c r="J422" s="226"/>
      <c r="K422" s="226"/>
      <c r="L422" s="226"/>
      <c r="M422" s="226"/>
      <c r="N422" s="226"/>
      <c r="O422" s="226"/>
      <c r="P422" s="226"/>
      <c r="Q422" s="226"/>
      <c r="R422" s="226"/>
      <c r="S422" s="226"/>
      <c r="T422" s="226"/>
      <c r="U422" s="226"/>
      <c r="V422" s="226"/>
      <c r="W422" s="226"/>
      <c r="X422" s="226"/>
    </row>
    <row r="423" spans="1:24" ht="14.25" x14ac:dyDescent="0.2">
      <c r="A423" s="226"/>
      <c r="B423" s="226"/>
      <c r="C423" s="226"/>
      <c r="D423" s="226"/>
      <c r="E423" s="226"/>
      <c r="F423" s="226"/>
      <c r="G423" s="226"/>
      <c r="H423" s="226"/>
      <c r="I423" s="226"/>
      <c r="J423" s="226"/>
      <c r="K423" s="226"/>
      <c r="L423" s="226"/>
      <c r="M423" s="226"/>
      <c r="N423" s="226"/>
      <c r="O423" s="226"/>
      <c r="P423" s="226"/>
      <c r="Q423" s="226"/>
      <c r="R423" s="226"/>
      <c r="S423" s="226"/>
      <c r="T423" s="226"/>
      <c r="U423" s="226"/>
      <c r="V423" s="226"/>
      <c r="W423" s="226"/>
      <c r="X423" s="226"/>
    </row>
    <row r="424" spans="1:24" ht="14.25" x14ac:dyDescent="0.2">
      <c r="A424" s="226"/>
      <c r="B424" s="226"/>
      <c r="C424" s="226"/>
      <c r="D424" s="226"/>
      <c r="E424" s="226"/>
      <c r="F424" s="226"/>
      <c r="G424" s="226"/>
      <c r="H424" s="226"/>
      <c r="I424" s="226"/>
      <c r="J424" s="226"/>
      <c r="K424" s="226"/>
      <c r="L424" s="226"/>
      <c r="M424" s="226"/>
      <c r="N424" s="226"/>
      <c r="O424" s="226"/>
      <c r="P424" s="226"/>
      <c r="Q424" s="226"/>
      <c r="R424" s="226"/>
      <c r="S424" s="226"/>
      <c r="T424" s="226"/>
      <c r="U424" s="226"/>
      <c r="V424" s="226"/>
      <c r="W424" s="226"/>
      <c r="X424" s="226"/>
    </row>
    <row r="425" spans="1:24" ht="14.25" x14ac:dyDescent="0.2">
      <c r="A425" s="226"/>
      <c r="B425" s="226"/>
      <c r="C425" s="226"/>
      <c r="D425" s="226"/>
      <c r="E425" s="226"/>
      <c r="F425" s="226"/>
      <c r="G425" s="226"/>
      <c r="H425" s="226"/>
      <c r="I425" s="226"/>
      <c r="J425" s="226"/>
      <c r="K425" s="226"/>
      <c r="L425" s="226"/>
      <c r="M425" s="226"/>
      <c r="N425" s="226"/>
      <c r="O425" s="226"/>
      <c r="P425" s="226"/>
      <c r="Q425" s="226"/>
      <c r="R425" s="226"/>
      <c r="S425" s="226"/>
      <c r="T425" s="226"/>
      <c r="U425" s="226"/>
      <c r="V425" s="226"/>
      <c r="W425" s="226"/>
      <c r="X425" s="226"/>
    </row>
    <row r="426" spans="1:24" ht="14.25" x14ac:dyDescent="0.2">
      <c r="A426" s="226"/>
      <c r="B426" s="226"/>
      <c r="C426" s="226"/>
      <c r="D426" s="226"/>
      <c r="E426" s="226"/>
      <c r="F426" s="226"/>
      <c r="G426" s="226"/>
      <c r="H426" s="226"/>
      <c r="I426" s="226"/>
      <c r="J426" s="226"/>
      <c r="K426" s="226"/>
      <c r="L426" s="226"/>
      <c r="M426" s="226"/>
      <c r="N426" s="226"/>
      <c r="O426" s="226"/>
      <c r="P426" s="226"/>
      <c r="Q426" s="226"/>
      <c r="R426" s="226"/>
      <c r="S426" s="226"/>
      <c r="T426" s="226"/>
      <c r="U426" s="226"/>
      <c r="V426" s="226"/>
      <c r="W426" s="226"/>
      <c r="X426" s="226"/>
    </row>
    <row r="427" spans="1:24" ht="14.25" x14ac:dyDescent="0.2">
      <c r="A427" s="226"/>
      <c r="B427" s="226"/>
      <c r="C427" s="226"/>
      <c r="D427" s="226"/>
      <c r="E427" s="226"/>
      <c r="F427" s="226"/>
      <c r="G427" s="226"/>
      <c r="H427" s="226"/>
      <c r="I427" s="226"/>
      <c r="J427" s="226"/>
      <c r="K427" s="226"/>
      <c r="L427" s="226"/>
      <c r="M427" s="226"/>
      <c r="N427" s="226"/>
      <c r="O427" s="226"/>
      <c r="P427" s="226"/>
      <c r="Q427" s="226"/>
      <c r="R427" s="226"/>
      <c r="S427" s="226"/>
      <c r="T427" s="226"/>
      <c r="U427" s="226"/>
      <c r="V427" s="226"/>
      <c r="W427" s="226"/>
      <c r="X427" s="226"/>
    </row>
    <row r="428" spans="1:24" ht="14.25" x14ac:dyDescent="0.2">
      <c r="A428" s="226"/>
      <c r="B428" s="226"/>
      <c r="C428" s="226"/>
      <c r="D428" s="226"/>
      <c r="E428" s="226"/>
      <c r="F428" s="226"/>
      <c r="G428" s="226"/>
      <c r="H428" s="226"/>
      <c r="I428" s="226"/>
      <c r="J428" s="226"/>
      <c r="K428" s="226"/>
      <c r="L428" s="226"/>
      <c r="M428" s="226"/>
      <c r="N428" s="226"/>
      <c r="O428" s="226"/>
      <c r="P428" s="226"/>
      <c r="Q428" s="226"/>
      <c r="R428" s="226"/>
      <c r="S428" s="226"/>
      <c r="T428" s="226"/>
      <c r="U428" s="226"/>
      <c r="V428" s="226"/>
      <c r="W428" s="226"/>
      <c r="X428" s="226"/>
    </row>
    <row r="429" spans="1:24" ht="14.25" x14ac:dyDescent="0.2">
      <c r="A429" s="226"/>
      <c r="B429" s="226"/>
      <c r="C429" s="226"/>
      <c r="D429" s="226"/>
      <c r="E429" s="226"/>
      <c r="F429" s="226"/>
      <c r="G429" s="226"/>
      <c r="H429" s="226"/>
      <c r="I429" s="226"/>
      <c r="J429" s="226"/>
      <c r="K429" s="226"/>
      <c r="L429" s="226"/>
      <c r="M429" s="226"/>
      <c r="N429" s="226"/>
      <c r="O429" s="226"/>
      <c r="P429" s="226"/>
      <c r="Q429" s="226"/>
      <c r="R429" s="226"/>
      <c r="S429" s="226"/>
      <c r="T429" s="226"/>
      <c r="U429" s="226"/>
      <c r="V429" s="226"/>
      <c r="W429" s="226"/>
      <c r="X429" s="226"/>
    </row>
    <row r="430" spans="1:24" ht="14.25" x14ac:dyDescent="0.2">
      <c r="A430" s="226"/>
      <c r="B430" s="226"/>
      <c r="C430" s="226"/>
      <c r="D430" s="226"/>
      <c r="E430" s="226"/>
      <c r="F430" s="226"/>
      <c r="G430" s="226"/>
      <c r="H430" s="226"/>
      <c r="I430" s="226"/>
      <c r="J430" s="226"/>
      <c r="K430" s="226"/>
      <c r="L430" s="226"/>
      <c r="M430" s="226"/>
      <c r="N430" s="226"/>
      <c r="O430" s="226"/>
      <c r="P430" s="226"/>
      <c r="Q430" s="226"/>
      <c r="R430" s="226"/>
      <c r="S430" s="226"/>
      <c r="T430" s="226"/>
      <c r="U430" s="226"/>
      <c r="V430" s="226"/>
      <c r="W430" s="226"/>
      <c r="X430" s="226"/>
    </row>
    <row r="431" spans="1:24" ht="14.25" x14ac:dyDescent="0.2">
      <c r="A431" s="226"/>
      <c r="B431" s="226"/>
      <c r="C431" s="226"/>
      <c r="D431" s="226"/>
      <c r="E431" s="226"/>
      <c r="F431" s="226"/>
      <c r="G431" s="226"/>
      <c r="H431" s="226"/>
      <c r="I431" s="226"/>
      <c r="J431" s="226"/>
      <c r="K431" s="226"/>
      <c r="L431" s="226"/>
      <c r="M431" s="226"/>
      <c r="N431" s="226"/>
      <c r="O431" s="226"/>
      <c r="P431" s="226"/>
      <c r="Q431" s="226"/>
      <c r="R431" s="226"/>
      <c r="S431" s="226"/>
      <c r="T431" s="226"/>
      <c r="U431" s="226"/>
      <c r="V431" s="226"/>
      <c r="W431" s="226"/>
      <c r="X431" s="226"/>
    </row>
    <row r="432" spans="1:24" ht="14.25" x14ac:dyDescent="0.2">
      <c r="A432" s="226"/>
      <c r="B432" s="226"/>
      <c r="C432" s="226"/>
      <c r="D432" s="226"/>
      <c r="E432" s="226"/>
      <c r="F432" s="226"/>
      <c r="G432" s="226"/>
      <c r="H432" s="226"/>
      <c r="I432" s="226"/>
      <c r="J432" s="226"/>
      <c r="K432" s="226"/>
      <c r="L432" s="226"/>
      <c r="M432" s="226"/>
      <c r="N432" s="226"/>
      <c r="O432" s="226"/>
      <c r="P432" s="226"/>
      <c r="Q432" s="226"/>
      <c r="R432" s="226"/>
      <c r="S432" s="226"/>
      <c r="T432" s="226"/>
      <c r="U432" s="226"/>
      <c r="V432" s="226"/>
      <c r="W432" s="226"/>
      <c r="X432" s="226"/>
    </row>
    <row r="433" spans="1:24" ht="14.25" x14ac:dyDescent="0.2">
      <c r="A433" s="226"/>
      <c r="B433" s="226"/>
      <c r="C433" s="226"/>
      <c r="D433" s="226"/>
      <c r="E433" s="226"/>
      <c r="F433" s="226"/>
      <c r="G433" s="226"/>
      <c r="H433" s="226"/>
      <c r="I433" s="226"/>
      <c r="J433" s="226"/>
      <c r="K433" s="226"/>
      <c r="L433" s="226"/>
      <c r="M433" s="226"/>
      <c r="N433" s="226"/>
      <c r="O433" s="226"/>
      <c r="P433" s="226"/>
      <c r="Q433" s="226"/>
      <c r="R433" s="226"/>
      <c r="S433" s="226"/>
      <c r="T433" s="226"/>
      <c r="U433" s="226"/>
      <c r="V433" s="226"/>
      <c r="W433" s="226"/>
      <c r="X433" s="226"/>
    </row>
    <row r="434" spans="1:24" ht="14.25" x14ac:dyDescent="0.2">
      <c r="A434" s="226"/>
      <c r="B434" s="226"/>
      <c r="C434" s="226"/>
      <c r="D434" s="226"/>
      <c r="E434" s="226"/>
      <c r="F434" s="226"/>
      <c r="G434" s="226"/>
      <c r="H434" s="226"/>
      <c r="I434" s="226"/>
      <c r="J434" s="226"/>
      <c r="K434" s="226"/>
      <c r="L434" s="226"/>
      <c r="M434" s="226"/>
      <c r="N434" s="226"/>
      <c r="O434" s="226"/>
      <c r="P434" s="226"/>
      <c r="Q434" s="226"/>
      <c r="R434" s="226"/>
      <c r="S434" s="226"/>
      <c r="T434" s="226"/>
      <c r="U434" s="226"/>
      <c r="V434" s="226"/>
      <c r="W434" s="226"/>
      <c r="X434" s="226"/>
    </row>
    <row r="435" spans="1:24" ht="14.25" x14ac:dyDescent="0.2">
      <c r="A435" s="226"/>
      <c r="B435" s="226"/>
      <c r="C435" s="226"/>
      <c r="D435" s="226"/>
      <c r="E435" s="226"/>
      <c r="F435" s="226"/>
      <c r="G435" s="226"/>
      <c r="H435" s="226"/>
      <c r="I435" s="226"/>
      <c r="J435" s="226"/>
      <c r="K435" s="226"/>
      <c r="L435" s="226"/>
      <c r="M435" s="226"/>
      <c r="N435" s="226"/>
      <c r="O435" s="226"/>
      <c r="P435" s="226"/>
      <c r="Q435" s="226"/>
      <c r="R435" s="226"/>
      <c r="S435" s="226"/>
      <c r="T435" s="226"/>
      <c r="U435" s="226"/>
      <c r="V435" s="226"/>
      <c r="W435" s="226"/>
      <c r="X435" s="226"/>
    </row>
    <row r="436" spans="1:24" ht="14.25" x14ac:dyDescent="0.2">
      <c r="A436" s="226"/>
      <c r="B436" s="226"/>
      <c r="C436" s="226"/>
      <c r="D436" s="226"/>
      <c r="E436" s="226"/>
      <c r="F436" s="226"/>
      <c r="G436" s="226"/>
      <c r="H436" s="226"/>
      <c r="I436" s="226"/>
      <c r="J436" s="226"/>
      <c r="K436" s="226"/>
      <c r="L436" s="226"/>
      <c r="M436" s="226"/>
      <c r="N436" s="226"/>
      <c r="O436" s="226"/>
      <c r="P436" s="226"/>
      <c r="Q436" s="226"/>
      <c r="R436" s="226"/>
      <c r="S436" s="226"/>
      <c r="T436" s="226"/>
      <c r="U436" s="226"/>
      <c r="V436" s="226"/>
      <c r="W436" s="226"/>
      <c r="X436" s="226"/>
    </row>
    <row r="437" spans="1:24" ht="14.25" x14ac:dyDescent="0.2">
      <c r="A437" s="226"/>
      <c r="B437" s="226"/>
      <c r="C437" s="226"/>
      <c r="D437" s="226"/>
      <c r="E437" s="226"/>
      <c r="F437" s="226"/>
      <c r="G437" s="226"/>
      <c r="H437" s="226"/>
      <c r="I437" s="226"/>
      <c r="J437" s="226"/>
      <c r="K437" s="226"/>
      <c r="L437" s="226"/>
      <c r="M437" s="226"/>
      <c r="N437" s="226"/>
      <c r="O437" s="226"/>
      <c r="P437" s="226"/>
      <c r="Q437" s="226"/>
      <c r="R437" s="226"/>
      <c r="S437" s="226"/>
      <c r="T437" s="226"/>
      <c r="U437" s="226"/>
      <c r="V437" s="226"/>
      <c r="W437" s="226"/>
      <c r="X437" s="226"/>
    </row>
    <row r="438" spans="1:24" ht="14.25" x14ac:dyDescent="0.2">
      <c r="A438" s="226"/>
      <c r="B438" s="226"/>
      <c r="C438" s="226"/>
      <c r="D438" s="226"/>
      <c r="E438" s="226"/>
      <c r="F438" s="226"/>
      <c r="G438" s="226"/>
      <c r="H438" s="226"/>
      <c r="I438" s="226"/>
      <c r="J438" s="226"/>
      <c r="K438" s="226"/>
      <c r="L438" s="226"/>
      <c r="M438" s="226"/>
      <c r="N438" s="226"/>
      <c r="O438" s="226"/>
      <c r="P438" s="226"/>
      <c r="Q438" s="226"/>
      <c r="R438" s="226"/>
      <c r="S438" s="226"/>
      <c r="T438" s="226"/>
      <c r="U438" s="226"/>
      <c r="V438" s="226"/>
      <c r="W438" s="226"/>
      <c r="X438" s="226"/>
    </row>
    <row r="439" spans="1:24" ht="14.25" x14ac:dyDescent="0.2">
      <c r="A439" s="226"/>
      <c r="B439" s="226"/>
      <c r="C439" s="226"/>
      <c r="D439" s="226"/>
      <c r="E439" s="226"/>
      <c r="F439" s="226"/>
      <c r="G439" s="226"/>
      <c r="H439" s="226"/>
      <c r="I439" s="226"/>
      <c r="J439" s="226"/>
      <c r="K439" s="226"/>
      <c r="L439" s="226"/>
      <c r="M439" s="226"/>
      <c r="N439" s="226"/>
      <c r="O439" s="226"/>
      <c r="P439" s="226"/>
      <c r="Q439" s="226"/>
      <c r="R439" s="226"/>
      <c r="S439" s="226"/>
      <c r="T439" s="226"/>
      <c r="U439" s="226"/>
      <c r="V439" s="226"/>
      <c r="W439" s="226"/>
      <c r="X439" s="226"/>
    </row>
    <row r="440" spans="1:24" ht="14.25" x14ac:dyDescent="0.2">
      <c r="A440" s="226"/>
      <c r="B440" s="226"/>
      <c r="C440" s="226"/>
      <c r="D440" s="226"/>
      <c r="E440" s="226"/>
      <c r="F440" s="226"/>
      <c r="G440" s="226"/>
      <c r="H440" s="226"/>
      <c r="I440" s="226"/>
      <c r="J440" s="226"/>
      <c r="K440" s="226"/>
      <c r="L440" s="226"/>
      <c r="M440" s="226"/>
      <c r="N440" s="226"/>
      <c r="O440" s="226"/>
      <c r="P440" s="226"/>
      <c r="Q440" s="226"/>
      <c r="R440" s="226"/>
      <c r="S440" s="226"/>
      <c r="T440" s="226"/>
      <c r="U440" s="226"/>
      <c r="V440" s="226"/>
      <c r="W440" s="226"/>
      <c r="X440" s="226"/>
    </row>
    <row r="441" spans="1:24" ht="14.25" x14ac:dyDescent="0.2">
      <c r="A441" s="226"/>
      <c r="B441" s="226"/>
      <c r="C441" s="226"/>
      <c r="D441" s="226"/>
      <c r="E441" s="226"/>
      <c r="F441" s="226"/>
      <c r="G441" s="226"/>
      <c r="H441" s="226"/>
      <c r="I441" s="226"/>
      <c r="J441" s="226"/>
      <c r="K441" s="226"/>
      <c r="L441" s="226"/>
      <c r="M441" s="226"/>
      <c r="N441" s="226"/>
      <c r="O441" s="226"/>
      <c r="P441" s="226"/>
      <c r="Q441" s="226"/>
      <c r="R441" s="226"/>
      <c r="S441" s="226"/>
      <c r="T441" s="226"/>
      <c r="U441" s="226"/>
      <c r="V441" s="226"/>
      <c r="W441" s="226"/>
      <c r="X441" s="226"/>
    </row>
    <row r="442" spans="1:24" ht="14.25" x14ac:dyDescent="0.2">
      <c r="A442" s="226"/>
      <c r="B442" s="226"/>
      <c r="C442" s="226"/>
      <c r="D442" s="226"/>
      <c r="E442" s="226"/>
      <c r="F442" s="226"/>
      <c r="G442" s="226"/>
      <c r="H442" s="226"/>
      <c r="I442" s="226"/>
      <c r="J442" s="226"/>
      <c r="K442" s="226"/>
      <c r="L442" s="226"/>
      <c r="M442" s="226"/>
      <c r="N442" s="226"/>
      <c r="O442" s="226"/>
      <c r="P442" s="226"/>
      <c r="Q442" s="226"/>
      <c r="R442" s="226"/>
      <c r="S442" s="226"/>
      <c r="T442" s="226"/>
      <c r="U442" s="226"/>
      <c r="V442" s="226"/>
      <c r="W442" s="226"/>
      <c r="X442" s="226"/>
    </row>
    <row r="443" spans="1:24" ht="14.25" x14ac:dyDescent="0.2">
      <c r="A443" s="226"/>
      <c r="B443" s="226"/>
      <c r="C443" s="226"/>
      <c r="D443" s="226"/>
      <c r="E443" s="226"/>
      <c r="F443" s="226"/>
      <c r="G443" s="226"/>
      <c r="H443" s="226"/>
      <c r="I443" s="226"/>
      <c r="J443" s="226"/>
      <c r="K443" s="226"/>
      <c r="L443" s="226"/>
      <c r="M443" s="226"/>
      <c r="N443" s="226"/>
      <c r="O443" s="226"/>
      <c r="P443" s="226"/>
      <c r="Q443" s="226"/>
      <c r="R443" s="226"/>
      <c r="S443" s="226"/>
      <c r="T443" s="226"/>
      <c r="U443" s="226"/>
      <c r="V443" s="226"/>
      <c r="W443" s="226"/>
      <c r="X443" s="226"/>
    </row>
    <row r="444" spans="1:24" ht="14.25" x14ac:dyDescent="0.2">
      <c r="A444" s="226"/>
      <c r="B444" s="226"/>
      <c r="C444" s="226"/>
      <c r="D444" s="226"/>
      <c r="E444" s="226"/>
      <c r="F444" s="226"/>
      <c r="G444" s="226"/>
      <c r="H444" s="226"/>
      <c r="I444" s="226"/>
      <c r="J444" s="226"/>
      <c r="K444" s="226"/>
      <c r="L444" s="226"/>
      <c r="M444" s="226"/>
      <c r="N444" s="226"/>
      <c r="O444" s="226"/>
      <c r="P444" s="226"/>
      <c r="Q444" s="226"/>
      <c r="R444" s="226"/>
      <c r="S444" s="226"/>
      <c r="T444" s="226"/>
      <c r="U444" s="226"/>
      <c r="V444" s="226"/>
      <c r="W444" s="226"/>
      <c r="X444" s="226"/>
    </row>
    <row r="445" spans="1:24" ht="14.25" x14ac:dyDescent="0.2">
      <c r="A445" s="226"/>
      <c r="B445" s="226"/>
      <c r="C445" s="226"/>
      <c r="D445" s="226"/>
      <c r="E445" s="226"/>
      <c r="F445" s="226"/>
      <c r="G445" s="226"/>
      <c r="H445" s="226"/>
      <c r="I445" s="226"/>
      <c r="J445" s="226"/>
      <c r="K445" s="226"/>
      <c r="L445" s="226"/>
      <c r="M445" s="226"/>
      <c r="N445" s="226"/>
      <c r="O445" s="226"/>
      <c r="P445" s="226"/>
      <c r="Q445" s="226"/>
      <c r="R445" s="226"/>
      <c r="S445" s="226"/>
      <c r="T445" s="226"/>
      <c r="U445" s="226"/>
      <c r="V445" s="226"/>
      <c r="W445" s="226"/>
      <c r="X445" s="226"/>
    </row>
    <row r="446" spans="1:24" ht="14.25" x14ac:dyDescent="0.2">
      <c r="A446" s="226"/>
      <c r="B446" s="226"/>
      <c r="C446" s="226"/>
      <c r="D446" s="226"/>
      <c r="E446" s="226"/>
      <c r="F446" s="226"/>
      <c r="G446" s="226"/>
      <c r="H446" s="226"/>
      <c r="I446" s="226"/>
      <c r="J446" s="226"/>
      <c r="K446" s="226"/>
      <c r="L446" s="226"/>
      <c r="M446" s="226"/>
      <c r="N446" s="226"/>
      <c r="O446" s="226"/>
      <c r="P446" s="226"/>
      <c r="Q446" s="226"/>
      <c r="R446" s="226"/>
      <c r="S446" s="226"/>
      <c r="T446" s="226"/>
      <c r="U446" s="226"/>
      <c r="V446" s="226"/>
      <c r="W446" s="226"/>
      <c r="X446" s="226"/>
    </row>
    <row r="447" spans="1:24" ht="14.25" x14ac:dyDescent="0.2">
      <c r="A447" s="226"/>
      <c r="B447" s="226"/>
      <c r="C447" s="226"/>
      <c r="D447" s="226"/>
      <c r="E447" s="226"/>
      <c r="F447" s="226"/>
      <c r="G447" s="226"/>
      <c r="H447" s="226"/>
      <c r="I447" s="226"/>
      <c r="J447" s="226"/>
      <c r="K447" s="226"/>
      <c r="L447" s="226"/>
      <c r="M447" s="226"/>
      <c r="N447" s="226"/>
      <c r="O447" s="226"/>
      <c r="P447" s="226"/>
      <c r="Q447" s="226"/>
      <c r="R447" s="226"/>
      <c r="S447" s="226"/>
      <c r="T447" s="226"/>
      <c r="U447" s="226"/>
      <c r="V447" s="226"/>
      <c r="W447" s="226"/>
      <c r="X447" s="226"/>
    </row>
    <row r="448" spans="1:24" ht="14.25" x14ac:dyDescent="0.2">
      <c r="A448" s="226"/>
      <c r="B448" s="226"/>
      <c r="C448" s="226"/>
      <c r="D448" s="226"/>
      <c r="E448" s="226"/>
      <c r="F448" s="226"/>
      <c r="G448" s="226"/>
      <c r="H448" s="226"/>
      <c r="I448" s="226"/>
      <c r="J448" s="226"/>
      <c r="K448" s="226"/>
      <c r="L448" s="226"/>
      <c r="M448" s="226"/>
      <c r="N448" s="226"/>
      <c r="O448" s="226"/>
      <c r="P448" s="226"/>
      <c r="Q448" s="226"/>
      <c r="R448" s="226"/>
      <c r="S448" s="226"/>
      <c r="T448" s="226"/>
      <c r="U448" s="226"/>
      <c r="V448" s="226"/>
      <c r="W448" s="226"/>
      <c r="X448" s="226"/>
    </row>
    <row r="449" spans="1:24" ht="14.25" x14ac:dyDescent="0.2">
      <c r="A449" s="226"/>
      <c r="B449" s="226"/>
      <c r="C449" s="226"/>
      <c r="D449" s="226"/>
      <c r="E449" s="226"/>
      <c r="F449" s="226"/>
      <c r="G449" s="226"/>
      <c r="H449" s="226"/>
      <c r="I449" s="226"/>
      <c r="J449" s="226"/>
      <c r="K449" s="226"/>
      <c r="L449" s="226"/>
      <c r="M449" s="226"/>
      <c r="N449" s="226"/>
      <c r="O449" s="226"/>
      <c r="P449" s="226"/>
      <c r="Q449" s="226"/>
      <c r="R449" s="226"/>
      <c r="S449" s="226"/>
      <c r="T449" s="226"/>
      <c r="U449" s="226"/>
      <c r="V449" s="226"/>
      <c r="W449" s="226"/>
      <c r="X449" s="226"/>
    </row>
    <row r="450" spans="1:24" ht="14.25" x14ac:dyDescent="0.2">
      <c r="A450" s="226"/>
      <c r="B450" s="226"/>
      <c r="C450" s="226"/>
      <c r="D450" s="226"/>
      <c r="E450" s="226"/>
      <c r="F450" s="226"/>
      <c r="G450" s="226"/>
      <c r="H450" s="226"/>
      <c r="I450" s="226"/>
      <c r="J450" s="226"/>
      <c r="K450" s="226"/>
      <c r="L450" s="226"/>
      <c r="M450" s="226"/>
      <c r="N450" s="226"/>
      <c r="O450" s="226"/>
      <c r="P450" s="226"/>
      <c r="Q450" s="226"/>
      <c r="R450" s="226"/>
      <c r="S450" s="226"/>
      <c r="T450" s="226"/>
      <c r="U450" s="226"/>
      <c r="V450" s="226"/>
      <c r="W450" s="226"/>
      <c r="X450" s="226"/>
    </row>
    <row r="451" spans="1:24" ht="14.25" x14ac:dyDescent="0.2">
      <c r="A451" s="226"/>
      <c r="B451" s="226"/>
      <c r="C451" s="226"/>
      <c r="D451" s="226"/>
      <c r="E451" s="226"/>
      <c r="F451" s="226"/>
      <c r="G451" s="226"/>
      <c r="H451" s="226"/>
      <c r="I451" s="226"/>
      <c r="J451" s="226"/>
      <c r="K451" s="226"/>
      <c r="L451" s="226"/>
      <c r="M451" s="226"/>
      <c r="N451" s="226"/>
      <c r="O451" s="226"/>
      <c r="P451" s="226"/>
      <c r="Q451" s="226"/>
      <c r="R451" s="226"/>
      <c r="S451" s="226"/>
      <c r="T451" s="226"/>
      <c r="U451" s="226"/>
      <c r="V451" s="226"/>
      <c r="W451" s="226"/>
      <c r="X451" s="226"/>
    </row>
    <row r="452" spans="1:24" ht="14.25" x14ac:dyDescent="0.2">
      <c r="A452" s="226"/>
      <c r="B452" s="226"/>
      <c r="C452" s="226"/>
      <c r="D452" s="226"/>
      <c r="E452" s="226"/>
      <c r="F452" s="226"/>
      <c r="G452" s="226"/>
      <c r="H452" s="226"/>
      <c r="I452" s="226"/>
      <c r="J452" s="226"/>
      <c r="K452" s="226"/>
      <c r="L452" s="226"/>
      <c r="M452" s="226"/>
      <c r="N452" s="226"/>
      <c r="O452" s="226"/>
      <c r="P452" s="226"/>
      <c r="Q452" s="226"/>
      <c r="R452" s="226"/>
      <c r="S452" s="226"/>
      <c r="T452" s="226"/>
      <c r="U452" s="226"/>
      <c r="V452" s="226"/>
      <c r="W452" s="226"/>
      <c r="X452" s="226"/>
    </row>
    <row r="453" spans="1:24" ht="14.25" x14ac:dyDescent="0.2">
      <c r="A453" s="226"/>
      <c r="B453" s="226"/>
      <c r="C453" s="226"/>
      <c r="D453" s="226"/>
      <c r="E453" s="226"/>
      <c r="F453" s="226"/>
      <c r="G453" s="226"/>
      <c r="H453" s="226"/>
      <c r="I453" s="226"/>
      <c r="J453" s="226"/>
      <c r="K453" s="226"/>
      <c r="L453" s="226"/>
      <c r="M453" s="226"/>
      <c r="N453" s="226"/>
      <c r="O453" s="226"/>
      <c r="P453" s="226"/>
      <c r="Q453" s="226"/>
      <c r="R453" s="226"/>
      <c r="S453" s="226"/>
      <c r="T453" s="226"/>
      <c r="U453" s="226"/>
      <c r="V453" s="226"/>
      <c r="W453" s="226"/>
      <c r="X453" s="226"/>
    </row>
    <row r="454" spans="1:24" ht="14.25" x14ac:dyDescent="0.2">
      <c r="A454" s="226"/>
      <c r="B454" s="226"/>
      <c r="C454" s="226"/>
      <c r="D454" s="226"/>
      <c r="E454" s="226"/>
      <c r="F454" s="226"/>
      <c r="G454" s="226"/>
      <c r="H454" s="226"/>
      <c r="I454" s="226"/>
      <c r="J454" s="226"/>
      <c r="K454" s="226"/>
      <c r="L454" s="226"/>
      <c r="M454" s="226"/>
      <c r="N454" s="226"/>
      <c r="O454" s="226"/>
      <c r="P454" s="226"/>
      <c r="Q454" s="226"/>
      <c r="R454" s="226"/>
      <c r="S454" s="226"/>
      <c r="T454" s="226"/>
      <c r="U454" s="226"/>
      <c r="V454" s="226"/>
      <c r="W454" s="226"/>
      <c r="X454" s="226"/>
    </row>
    <row r="455" spans="1:24" ht="14.25" x14ac:dyDescent="0.2">
      <c r="A455" s="226"/>
      <c r="B455" s="226"/>
      <c r="C455" s="226"/>
      <c r="D455" s="226"/>
      <c r="E455" s="226"/>
      <c r="F455" s="226"/>
      <c r="G455" s="226"/>
      <c r="H455" s="226"/>
      <c r="I455" s="226"/>
      <c r="J455" s="226"/>
      <c r="K455" s="226"/>
      <c r="L455" s="226"/>
      <c r="M455" s="226"/>
      <c r="N455" s="226"/>
      <c r="O455" s="226"/>
      <c r="P455" s="226"/>
      <c r="Q455" s="226"/>
      <c r="R455" s="226"/>
      <c r="S455" s="226"/>
      <c r="T455" s="226"/>
      <c r="U455" s="226"/>
      <c r="V455" s="226"/>
      <c r="W455" s="226"/>
      <c r="X455" s="226"/>
    </row>
    <row r="456" spans="1:24" ht="14.25" x14ac:dyDescent="0.2">
      <c r="A456" s="226"/>
      <c r="B456" s="226"/>
      <c r="C456" s="226"/>
      <c r="D456" s="226"/>
      <c r="E456" s="226"/>
      <c r="F456" s="226"/>
      <c r="G456" s="226"/>
      <c r="H456" s="226"/>
      <c r="I456" s="226"/>
      <c r="J456" s="226"/>
      <c r="K456" s="226"/>
      <c r="L456" s="226"/>
      <c r="M456" s="226"/>
      <c r="N456" s="226"/>
      <c r="O456" s="226"/>
      <c r="P456" s="226"/>
      <c r="Q456" s="226"/>
      <c r="R456" s="226"/>
      <c r="S456" s="226"/>
      <c r="T456" s="226"/>
      <c r="U456" s="226"/>
      <c r="V456" s="226"/>
      <c r="W456" s="226"/>
      <c r="X456" s="226"/>
    </row>
    <row r="457" spans="1:24" ht="14.25" x14ac:dyDescent="0.2">
      <c r="A457" s="226"/>
      <c r="B457" s="226"/>
      <c r="C457" s="226"/>
      <c r="D457" s="226"/>
      <c r="E457" s="226"/>
      <c r="F457" s="226"/>
      <c r="G457" s="226"/>
      <c r="H457" s="226"/>
      <c r="I457" s="226"/>
      <c r="J457" s="226"/>
      <c r="K457" s="226"/>
      <c r="L457" s="226"/>
      <c r="M457" s="226"/>
      <c r="N457" s="226"/>
      <c r="O457" s="226"/>
      <c r="P457" s="226"/>
      <c r="Q457" s="226"/>
      <c r="R457" s="226"/>
      <c r="S457" s="226"/>
      <c r="T457" s="226"/>
      <c r="U457" s="226"/>
      <c r="V457" s="226"/>
      <c r="W457" s="226"/>
      <c r="X457" s="226"/>
    </row>
    <row r="458" spans="1:24" ht="14.25" x14ac:dyDescent="0.2">
      <c r="A458" s="226"/>
      <c r="B458" s="226"/>
      <c r="C458" s="226"/>
      <c r="D458" s="226"/>
      <c r="E458" s="226"/>
      <c r="F458" s="226"/>
      <c r="G458" s="226"/>
      <c r="H458" s="226"/>
      <c r="I458" s="226"/>
      <c r="J458" s="226"/>
      <c r="K458" s="226"/>
      <c r="L458" s="226"/>
      <c r="M458" s="226"/>
      <c r="N458" s="226"/>
      <c r="O458" s="226"/>
      <c r="P458" s="226"/>
      <c r="Q458" s="226"/>
      <c r="R458" s="226"/>
      <c r="S458" s="226"/>
      <c r="T458" s="226"/>
      <c r="U458" s="226"/>
      <c r="V458" s="226"/>
      <c r="W458" s="226"/>
      <c r="X458" s="226"/>
    </row>
    <row r="459" spans="1:24" ht="14.25" x14ac:dyDescent="0.2">
      <c r="A459" s="226"/>
      <c r="B459" s="226"/>
      <c r="C459" s="226"/>
      <c r="D459" s="226"/>
      <c r="E459" s="226"/>
      <c r="F459" s="226"/>
      <c r="G459" s="226"/>
      <c r="H459" s="226"/>
      <c r="I459" s="226"/>
      <c r="J459" s="226"/>
      <c r="K459" s="226"/>
      <c r="L459" s="226"/>
      <c r="M459" s="226"/>
      <c r="N459" s="226"/>
      <c r="O459" s="226"/>
      <c r="P459" s="226"/>
      <c r="Q459" s="226"/>
      <c r="R459" s="226"/>
      <c r="S459" s="226"/>
      <c r="T459" s="226"/>
      <c r="U459" s="226"/>
      <c r="V459" s="226"/>
      <c r="W459" s="226"/>
      <c r="X459" s="226"/>
    </row>
    <row r="460" spans="1:24" ht="14.25" x14ac:dyDescent="0.2">
      <c r="A460" s="226"/>
      <c r="B460" s="226"/>
      <c r="C460" s="226"/>
      <c r="D460" s="226"/>
      <c r="E460" s="226"/>
      <c r="F460" s="226"/>
      <c r="G460" s="226"/>
      <c r="H460" s="226"/>
      <c r="I460" s="226"/>
      <c r="J460" s="226"/>
      <c r="K460" s="226"/>
      <c r="L460" s="226"/>
      <c r="M460" s="226"/>
      <c r="N460" s="226"/>
      <c r="O460" s="226"/>
      <c r="P460" s="226"/>
      <c r="Q460" s="226"/>
      <c r="R460" s="226"/>
      <c r="S460" s="226"/>
      <c r="T460" s="226"/>
      <c r="U460" s="226"/>
      <c r="V460" s="226"/>
      <c r="W460" s="226"/>
      <c r="X460" s="226"/>
    </row>
    <row r="461" spans="1:24" ht="14.25" x14ac:dyDescent="0.2">
      <c r="A461" s="226"/>
      <c r="B461" s="226"/>
      <c r="C461" s="226"/>
      <c r="D461" s="226"/>
      <c r="E461" s="226"/>
      <c r="F461" s="226"/>
      <c r="G461" s="226"/>
      <c r="H461" s="226"/>
      <c r="I461" s="226"/>
      <c r="J461" s="226"/>
      <c r="K461" s="226"/>
      <c r="L461" s="226"/>
      <c r="M461" s="226"/>
      <c r="N461" s="226"/>
      <c r="O461" s="226"/>
      <c r="P461" s="226"/>
      <c r="Q461" s="226"/>
      <c r="R461" s="226"/>
      <c r="S461" s="226"/>
      <c r="T461" s="226"/>
      <c r="U461" s="226"/>
      <c r="V461" s="226"/>
      <c r="W461" s="226"/>
      <c r="X461" s="226"/>
    </row>
    <row r="462" spans="1:24" ht="14.25" x14ac:dyDescent="0.2">
      <c r="A462" s="226"/>
      <c r="B462" s="226"/>
      <c r="C462" s="226"/>
      <c r="D462" s="226"/>
      <c r="E462" s="226"/>
      <c r="F462" s="226"/>
      <c r="G462" s="226"/>
      <c r="H462" s="226"/>
      <c r="I462" s="226"/>
      <c r="J462" s="226"/>
      <c r="K462" s="226"/>
      <c r="L462" s="226"/>
      <c r="M462" s="226"/>
      <c r="N462" s="226"/>
      <c r="O462" s="226"/>
      <c r="P462" s="226"/>
      <c r="Q462" s="226"/>
      <c r="R462" s="226"/>
      <c r="S462" s="226"/>
      <c r="T462" s="226"/>
      <c r="U462" s="226"/>
      <c r="V462" s="226"/>
      <c r="W462" s="226"/>
      <c r="X462" s="226"/>
    </row>
    <row r="463" spans="1:24" ht="14.25" x14ac:dyDescent="0.2">
      <c r="A463" s="226"/>
      <c r="B463" s="226"/>
      <c r="C463" s="226"/>
      <c r="D463" s="226"/>
      <c r="E463" s="226"/>
      <c r="F463" s="226"/>
      <c r="G463" s="226"/>
      <c r="H463" s="226"/>
      <c r="I463" s="226"/>
      <c r="J463" s="226"/>
      <c r="K463" s="226"/>
      <c r="L463" s="226"/>
      <c r="M463" s="226"/>
      <c r="N463" s="226"/>
      <c r="O463" s="226"/>
      <c r="P463" s="226"/>
      <c r="Q463" s="226"/>
      <c r="R463" s="226"/>
      <c r="S463" s="226"/>
      <c r="T463" s="226"/>
      <c r="U463" s="226"/>
      <c r="V463" s="226"/>
      <c r="W463" s="226"/>
      <c r="X463" s="226"/>
    </row>
    <row r="464" spans="1:24" ht="14.25" x14ac:dyDescent="0.2">
      <c r="A464" s="226"/>
      <c r="B464" s="226"/>
      <c r="C464" s="226"/>
      <c r="D464" s="226"/>
      <c r="E464" s="226"/>
      <c r="F464" s="226"/>
      <c r="G464" s="226"/>
      <c r="H464" s="226"/>
      <c r="I464" s="226"/>
      <c r="J464" s="226"/>
      <c r="K464" s="226"/>
      <c r="L464" s="226"/>
      <c r="M464" s="226"/>
      <c r="N464" s="226"/>
      <c r="O464" s="226"/>
      <c r="P464" s="226"/>
      <c r="Q464" s="226"/>
      <c r="R464" s="226"/>
      <c r="S464" s="226"/>
      <c r="T464" s="226"/>
      <c r="U464" s="226"/>
      <c r="V464" s="226"/>
      <c r="W464" s="226"/>
      <c r="X464" s="226"/>
    </row>
    <row r="465" spans="1:24" ht="14.25" x14ac:dyDescent="0.2">
      <c r="A465" s="226"/>
      <c r="B465" s="226"/>
      <c r="C465" s="226"/>
      <c r="D465" s="226"/>
      <c r="E465" s="226"/>
      <c r="F465" s="226"/>
      <c r="G465" s="226"/>
      <c r="H465" s="226"/>
      <c r="I465" s="226"/>
      <c r="J465" s="226"/>
      <c r="K465" s="226"/>
      <c r="L465" s="226"/>
      <c r="M465" s="226"/>
      <c r="N465" s="226"/>
      <c r="O465" s="226"/>
      <c r="P465" s="226"/>
      <c r="Q465" s="226"/>
      <c r="R465" s="226"/>
      <c r="S465" s="226"/>
      <c r="T465" s="226"/>
      <c r="U465" s="226"/>
      <c r="V465" s="226"/>
      <c r="W465" s="226"/>
      <c r="X465" s="226"/>
    </row>
    <row r="466" spans="1:24" ht="14.25" x14ac:dyDescent="0.2">
      <c r="A466" s="226"/>
      <c r="B466" s="226"/>
      <c r="C466" s="226"/>
      <c r="D466" s="226"/>
      <c r="E466" s="226"/>
      <c r="F466" s="226"/>
      <c r="G466" s="226"/>
      <c r="H466" s="226"/>
      <c r="I466" s="226"/>
      <c r="J466" s="226"/>
      <c r="K466" s="226"/>
      <c r="L466" s="226"/>
      <c r="M466" s="226"/>
      <c r="N466" s="226"/>
      <c r="O466" s="226"/>
      <c r="P466" s="226"/>
      <c r="Q466" s="226"/>
      <c r="R466" s="226"/>
      <c r="S466" s="226"/>
      <c r="T466" s="226"/>
      <c r="U466" s="226"/>
      <c r="V466" s="226"/>
      <c r="W466" s="226"/>
      <c r="X466" s="226"/>
    </row>
    <row r="467" spans="1:24" ht="14.25" x14ac:dyDescent="0.2">
      <c r="A467" s="226"/>
      <c r="B467" s="226"/>
      <c r="C467" s="226"/>
      <c r="D467" s="226"/>
      <c r="E467" s="226"/>
      <c r="F467" s="226"/>
      <c r="G467" s="226"/>
      <c r="H467" s="226"/>
      <c r="I467" s="226"/>
      <c r="J467" s="226"/>
      <c r="K467" s="226"/>
      <c r="L467" s="226"/>
      <c r="M467" s="226"/>
      <c r="N467" s="226"/>
      <c r="O467" s="226"/>
      <c r="P467" s="226"/>
      <c r="Q467" s="226"/>
      <c r="R467" s="226"/>
      <c r="S467" s="226"/>
      <c r="T467" s="226"/>
      <c r="U467" s="226"/>
      <c r="V467" s="226"/>
      <c r="W467" s="226"/>
      <c r="X467" s="226"/>
    </row>
    <row r="468" spans="1:24" ht="14.25" x14ac:dyDescent="0.2">
      <c r="A468" s="226"/>
      <c r="B468" s="226"/>
      <c r="C468" s="226"/>
      <c r="D468" s="226"/>
      <c r="E468" s="226"/>
      <c r="F468" s="226"/>
      <c r="G468" s="226"/>
      <c r="H468" s="226"/>
      <c r="I468" s="226"/>
      <c r="J468" s="226"/>
      <c r="K468" s="226"/>
      <c r="L468" s="226"/>
      <c r="M468" s="226"/>
      <c r="N468" s="226"/>
      <c r="O468" s="226"/>
      <c r="P468" s="226"/>
      <c r="Q468" s="226"/>
      <c r="R468" s="226"/>
      <c r="S468" s="226"/>
      <c r="T468" s="226"/>
      <c r="U468" s="226"/>
      <c r="V468" s="226"/>
      <c r="W468" s="226"/>
      <c r="X468" s="226"/>
    </row>
    <row r="469" spans="1:24" ht="14.25" x14ac:dyDescent="0.2">
      <c r="A469" s="226"/>
      <c r="B469" s="226"/>
      <c r="C469" s="226"/>
      <c r="D469" s="226"/>
      <c r="E469" s="226"/>
      <c r="F469" s="226"/>
      <c r="G469" s="226"/>
      <c r="H469" s="226"/>
      <c r="I469" s="226"/>
      <c r="J469" s="226"/>
      <c r="K469" s="226"/>
      <c r="L469" s="226"/>
      <c r="M469" s="226"/>
      <c r="N469" s="226"/>
      <c r="O469" s="226"/>
      <c r="P469" s="226"/>
      <c r="Q469" s="226"/>
      <c r="R469" s="226"/>
      <c r="S469" s="226"/>
      <c r="T469" s="226"/>
      <c r="U469" s="226"/>
      <c r="V469" s="226"/>
      <c r="W469" s="226"/>
      <c r="X469" s="226"/>
    </row>
    <row r="470" spans="1:24" ht="14.25" x14ac:dyDescent="0.2">
      <c r="A470" s="226"/>
      <c r="B470" s="226"/>
      <c r="C470" s="226"/>
      <c r="D470" s="226"/>
      <c r="E470" s="226"/>
      <c r="F470" s="226"/>
      <c r="G470" s="226"/>
      <c r="H470" s="226"/>
      <c r="I470" s="226"/>
      <c r="J470" s="226"/>
      <c r="K470" s="226"/>
      <c r="L470" s="226"/>
      <c r="M470" s="226"/>
      <c r="N470" s="226"/>
      <c r="O470" s="226"/>
      <c r="P470" s="226"/>
      <c r="Q470" s="226"/>
      <c r="R470" s="226"/>
      <c r="S470" s="226"/>
      <c r="T470" s="226"/>
      <c r="U470" s="226"/>
      <c r="V470" s="226"/>
      <c r="W470" s="226"/>
      <c r="X470" s="226"/>
    </row>
    <row r="471" spans="1:24" ht="14.25" x14ac:dyDescent="0.2">
      <c r="A471" s="226"/>
      <c r="B471" s="226"/>
      <c r="C471" s="226"/>
      <c r="D471" s="226"/>
      <c r="E471" s="226"/>
      <c r="F471" s="226"/>
      <c r="G471" s="226"/>
      <c r="H471" s="226"/>
      <c r="I471" s="226"/>
      <c r="J471" s="226"/>
      <c r="K471" s="226"/>
      <c r="L471" s="226"/>
      <c r="M471" s="226"/>
      <c r="N471" s="226"/>
      <c r="O471" s="226"/>
      <c r="P471" s="226"/>
      <c r="Q471" s="226"/>
      <c r="R471" s="226"/>
      <c r="S471" s="226"/>
      <c r="T471" s="226"/>
      <c r="U471" s="226"/>
      <c r="V471" s="226"/>
      <c r="W471" s="226"/>
      <c r="X471" s="226"/>
    </row>
    <row r="472" spans="1:24" ht="14.25" x14ac:dyDescent="0.2">
      <c r="A472" s="226"/>
      <c r="B472" s="226"/>
      <c r="C472" s="226"/>
      <c r="D472" s="226"/>
      <c r="E472" s="226"/>
      <c r="F472" s="226"/>
      <c r="G472" s="226"/>
      <c r="H472" s="226"/>
      <c r="I472" s="226"/>
      <c r="J472" s="226"/>
      <c r="K472" s="226"/>
      <c r="L472" s="226"/>
      <c r="M472" s="226"/>
      <c r="N472" s="226"/>
      <c r="O472" s="226"/>
      <c r="P472" s="226"/>
      <c r="Q472" s="226"/>
      <c r="R472" s="226"/>
      <c r="S472" s="226"/>
      <c r="T472" s="226"/>
      <c r="U472" s="226"/>
      <c r="V472" s="226"/>
      <c r="W472" s="226"/>
      <c r="X472" s="226"/>
    </row>
    <row r="473" spans="1:24" ht="14.25" x14ac:dyDescent="0.2">
      <c r="A473" s="226"/>
      <c r="B473" s="226"/>
      <c r="C473" s="226"/>
      <c r="D473" s="226"/>
      <c r="E473" s="226"/>
      <c r="F473" s="226"/>
      <c r="G473" s="226"/>
      <c r="H473" s="226"/>
      <c r="I473" s="226"/>
      <c r="J473" s="226"/>
      <c r="K473" s="226"/>
      <c r="L473" s="226"/>
      <c r="M473" s="226"/>
      <c r="N473" s="226"/>
      <c r="O473" s="226"/>
      <c r="P473" s="226"/>
      <c r="Q473" s="226"/>
      <c r="R473" s="226"/>
      <c r="S473" s="226"/>
      <c r="T473" s="226"/>
      <c r="U473" s="226"/>
      <c r="V473" s="226"/>
      <c r="W473" s="226"/>
      <c r="X473" s="226"/>
    </row>
    <row r="474" spans="1:24" ht="14.25" x14ac:dyDescent="0.2">
      <c r="A474" s="226"/>
      <c r="B474" s="226"/>
      <c r="C474" s="226"/>
      <c r="D474" s="226"/>
      <c r="E474" s="226"/>
      <c r="F474" s="226"/>
      <c r="G474" s="226"/>
      <c r="H474" s="226"/>
      <c r="I474" s="226"/>
      <c r="J474" s="226"/>
      <c r="K474" s="226"/>
      <c r="L474" s="226"/>
      <c r="M474" s="226"/>
      <c r="N474" s="226"/>
      <c r="O474" s="226"/>
      <c r="P474" s="226"/>
      <c r="Q474" s="226"/>
      <c r="R474" s="226"/>
      <c r="S474" s="226"/>
      <c r="T474" s="226"/>
      <c r="U474" s="226"/>
      <c r="V474" s="226"/>
      <c r="W474" s="226"/>
      <c r="X474" s="226"/>
    </row>
    <row r="475" spans="1:24" ht="14.25" x14ac:dyDescent="0.2">
      <c r="A475" s="226"/>
      <c r="B475" s="226"/>
      <c r="C475" s="226"/>
      <c r="D475" s="226"/>
      <c r="E475" s="226"/>
      <c r="F475" s="226"/>
      <c r="G475" s="226"/>
      <c r="H475" s="226"/>
      <c r="I475" s="226"/>
      <c r="J475" s="226"/>
      <c r="K475" s="226"/>
      <c r="L475" s="226"/>
      <c r="M475" s="226"/>
      <c r="N475" s="226"/>
      <c r="O475" s="226"/>
      <c r="P475" s="226"/>
      <c r="Q475" s="226"/>
      <c r="R475" s="226"/>
      <c r="S475" s="226"/>
      <c r="T475" s="226"/>
      <c r="U475" s="226"/>
      <c r="V475" s="226"/>
      <c r="W475" s="226"/>
      <c r="X475" s="226"/>
    </row>
    <row r="476" spans="1:24" ht="14.25" x14ac:dyDescent="0.2">
      <c r="A476" s="226"/>
      <c r="B476" s="226"/>
      <c r="C476" s="226"/>
      <c r="D476" s="226"/>
      <c r="E476" s="226"/>
      <c r="F476" s="226"/>
      <c r="G476" s="226"/>
      <c r="H476" s="226"/>
      <c r="I476" s="226"/>
      <c r="J476" s="226"/>
      <c r="K476" s="226"/>
      <c r="L476" s="226"/>
      <c r="M476" s="226"/>
      <c r="N476" s="226"/>
      <c r="O476" s="226"/>
      <c r="P476" s="226"/>
      <c r="Q476" s="226"/>
      <c r="R476" s="226"/>
      <c r="S476" s="226"/>
      <c r="T476" s="226"/>
      <c r="U476" s="226"/>
      <c r="V476" s="226"/>
      <c r="W476" s="226"/>
      <c r="X476" s="226"/>
    </row>
    <row r="477" spans="1:24" ht="14.25" x14ac:dyDescent="0.2">
      <c r="A477" s="226"/>
      <c r="B477" s="226"/>
      <c r="C477" s="226"/>
      <c r="D477" s="226"/>
      <c r="E477" s="226"/>
      <c r="F477" s="226"/>
      <c r="G477" s="226"/>
      <c r="H477" s="226"/>
      <c r="I477" s="226"/>
      <c r="J477" s="226"/>
      <c r="K477" s="226"/>
      <c r="L477" s="226"/>
      <c r="M477" s="226"/>
      <c r="N477" s="226"/>
      <c r="O477" s="226"/>
      <c r="P477" s="226"/>
      <c r="Q477" s="226"/>
      <c r="R477" s="226"/>
      <c r="S477" s="226"/>
      <c r="T477" s="226"/>
      <c r="U477" s="226"/>
      <c r="V477" s="226"/>
      <c r="W477" s="226"/>
      <c r="X477" s="226"/>
    </row>
    <row r="478" spans="1:24" ht="14.25" x14ac:dyDescent="0.2">
      <c r="A478" s="226"/>
      <c r="B478" s="226"/>
      <c r="C478" s="226"/>
      <c r="D478" s="226"/>
      <c r="E478" s="226"/>
      <c r="F478" s="226"/>
      <c r="G478" s="226"/>
      <c r="H478" s="226"/>
      <c r="I478" s="226"/>
      <c r="J478" s="226"/>
      <c r="K478" s="226"/>
      <c r="L478" s="226"/>
      <c r="M478" s="226"/>
      <c r="N478" s="226"/>
      <c r="O478" s="226"/>
      <c r="P478" s="226"/>
      <c r="Q478" s="226"/>
      <c r="R478" s="226"/>
      <c r="S478" s="226"/>
      <c r="T478" s="226"/>
      <c r="U478" s="226"/>
      <c r="V478" s="226"/>
      <c r="W478" s="226"/>
      <c r="X478" s="226"/>
    </row>
    <row r="479" spans="1:24" ht="14.25" x14ac:dyDescent="0.2">
      <c r="A479" s="226"/>
      <c r="B479" s="226"/>
      <c r="C479" s="226"/>
      <c r="D479" s="226"/>
      <c r="E479" s="226"/>
      <c r="F479" s="226"/>
      <c r="G479" s="226"/>
      <c r="H479" s="226"/>
      <c r="I479" s="226"/>
      <c r="J479" s="226"/>
      <c r="K479" s="226"/>
      <c r="L479" s="226"/>
      <c r="M479" s="226"/>
      <c r="N479" s="226"/>
      <c r="O479" s="226"/>
      <c r="P479" s="226"/>
      <c r="Q479" s="226"/>
      <c r="R479" s="226"/>
      <c r="S479" s="226"/>
      <c r="T479" s="226"/>
      <c r="U479" s="226"/>
      <c r="V479" s="226"/>
      <c r="W479" s="226"/>
      <c r="X479" s="226"/>
    </row>
    <row r="480" spans="1:24" ht="14.25" x14ac:dyDescent="0.2">
      <c r="A480" s="226"/>
      <c r="B480" s="226"/>
      <c r="C480" s="226"/>
      <c r="D480" s="226"/>
      <c r="E480" s="226"/>
      <c r="F480" s="226"/>
      <c r="G480" s="226"/>
      <c r="H480" s="226"/>
      <c r="I480" s="226"/>
      <c r="J480" s="226"/>
      <c r="K480" s="226"/>
      <c r="L480" s="226"/>
      <c r="M480" s="226"/>
      <c r="N480" s="226"/>
      <c r="O480" s="226"/>
      <c r="P480" s="226"/>
      <c r="Q480" s="226"/>
      <c r="R480" s="226"/>
      <c r="S480" s="226"/>
      <c r="T480" s="226"/>
      <c r="U480" s="226"/>
      <c r="V480" s="226"/>
      <c r="W480" s="226"/>
      <c r="X480" s="226"/>
    </row>
    <row r="481" spans="1:24" ht="14.25" x14ac:dyDescent="0.2">
      <c r="A481" s="226"/>
      <c r="B481" s="226"/>
      <c r="C481" s="226"/>
      <c r="D481" s="226"/>
      <c r="E481" s="226"/>
      <c r="F481" s="226"/>
      <c r="G481" s="226"/>
      <c r="H481" s="226"/>
      <c r="I481" s="226"/>
      <c r="J481" s="226"/>
      <c r="K481" s="226"/>
      <c r="L481" s="226"/>
      <c r="M481" s="226"/>
      <c r="N481" s="226"/>
      <c r="O481" s="226"/>
      <c r="P481" s="226"/>
      <c r="Q481" s="226"/>
      <c r="R481" s="226"/>
      <c r="S481" s="226"/>
      <c r="T481" s="226"/>
      <c r="U481" s="226"/>
      <c r="V481" s="226"/>
      <c r="W481" s="226"/>
      <c r="X481" s="226"/>
    </row>
    <row r="482" spans="1:24" ht="14.25" x14ac:dyDescent="0.2">
      <c r="A482" s="226"/>
      <c r="B482" s="226"/>
      <c r="C482" s="226"/>
      <c r="D482" s="226"/>
      <c r="E482" s="226"/>
      <c r="F482" s="226"/>
      <c r="G482" s="226"/>
      <c r="H482" s="226"/>
      <c r="I482" s="226"/>
      <c r="J482" s="226"/>
      <c r="K482" s="226"/>
      <c r="L482" s="226"/>
      <c r="M482" s="226"/>
      <c r="N482" s="226"/>
      <c r="O482" s="226"/>
      <c r="P482" s="226"/>
      <c r="Q482" s="226"/>
      <c r="R482" s="226"/>
      <c r="S482" s="226"/>
      <c r="T482" s="226"/>
      <c r="U482" s="226"/>
      <c r="V482" s="226"/>
      <c r="W482" s="226"/>
      <c r="X482" s="226"/>
    </row>
    <row r="483" spans="1:24" ht="14.25" x14ac:dyDescent="0.2">
      <c r="A483" s="226"/>
      <c r="B483" s="226"/>
      <c r="C483" s="226"/>
      <c r="D483" s="226"/>
      <c r="E483" s="226"/>
      <c r="F483" s="226"/>
      <c r="G483" s="226"/>
      <c r="H483" s="226"/>
      <c r="I483" s="226"/>
      <c r="J483" s="226"/>
      <c r="K483" s="226"/>
      <c r="L483" s="226"/>
      <c r="M483" s="226"/>
      <c r="N483" s="226"/>
      <c r="O483" s="226"/>
      <c r="P483" s="226"/>
      <c r="Q483" s="226"/>
      <c r="R483" s="226"/>
      <c r="S483" s="226"/>
      <c r="T483" s="226"/>
      <c r="U483" s="226"/>
      <c r="V483" s="226"/>
      <c r="W483" s="226"/>
      <c r="X483" s="226"/>
    </row>
    <row r="484" spans="1:24" ht="14.25" x14ac:dyDescent="0.2">
      <c r="A484" s="226"/>
      <c r="B484" s="226"/>
      <c r="C484" s="226"/>
      <c r="D484" s="226"/>
      <c r="E484" s="226"/>
      <c r="F484" s="226"/>
      <c r="G484" s="226"/>
      <c r="H484" s="226"/>
      <c r="I484" s="226"/>
      <c r="J484" s="226"/>
      <c r="K484" s="226"/>
      <c r="L484" s="226"/>
      <c r="M484" s="226"/>
      <c r="N484" s="226"/>
      <c r="O484" s="226"/>
      <c r="P484" s="226"/>
      <c r="Q484" s="226"/>
      <c r="R484" s="226"/>
      <c r="S484" s="226"/>
      <c r="T484" s="226"/>
      <c r="U484" s="226"/>
      <c r="V484" s="226"/>
      <c r="W484" s="226"/>
      <c r="X484" s="226"/>
    </row>
    <row r="485" spans="1:24" ht="14.25" x14ac:dyDescent="0.2">
      <c r="A485" s="226"/>
      <c r="B485" s="226"/>
      <c r="C485" s="226"/>
      <c r="D485" s="226"/>
      <c r="E485" s="226"/>
      <c r="F485" s="226"/>
      <c r="G485" s="226"/>
      <c r="H485" s="226"/>
      <c r="I485" s="226"/>
      <c r="J485" s="226"/>
      <c r="K485" s="226"/>
      <c r="L485" s="226"/>
      <c r="M485" s="226"/>
      <c r="N485" s="226"/>
      <c r="O485" s="226"/>
      <c r="P485" s="226"/>
      <c r="Q485" s="226"/>
      <c r="R485" s="226"/>
      <c r="S485" s="226"/>
      <c r="T485" s="226"/>
      <c r="U485" s="226"/>
      <c r="V485" s="226"/>
      <c r="W485" s="226"/>
      <c r="X485" s="226"/>
    </row>
    <row r="486" spans="1:24" ht="14.25" x14ac:dyDescent="0.2">
      <c r="A486" s="226"/>
      <c r="B486" s="226"/>
      <c r="C486" s="226"/>
      <c r="D486" s="226"/>
      <c r="E486" s="226"/>
      <c r="F486" s="226"/>
      <c r="G486" s="226"/>
      <c r="H486" s="226"/>
      <c r="I486" s="226"/>
      <c r="J486" s="226"/>
      <c r="K486" s="226"/>
      <c r="L486" s="226"/>
      <c r="M486" s="226"/>
      <c r="N486" s="226"/>
      <c r="O486" s="226"/>
      <c r="P486" s="226"/>
      <c r="Q486" s="226"/>
      <c r="R486" s="226"/>
      <c r="S486" s="226"/>
      <c r="T486" s="226"/>
      <c r="U486" s="226"/>
      <c r="V486" s="226"/>
      <c r="W486" s="226"/>
      <c r="X486" s="226"/>
    </row>
    <row r="487" spans="1:24" ht="14.25" x14ac:dyDescent="0.2">
      <c r="A487" s="226"/>
      <c r="B487" s="226"/>
      <c r="C487" s="226"/>
      <c r="D487" s="226"/>
      <c r="E487" s="226"/>
      <c r="F487" s="226"/>
      <c r="G487" s="226"/>
      <c r="H487" s="226"/>
      <c r="I487" s="226"/>
      <c r="J487" s="226"/>
      <c r="K487" s="226"/>
      <c r="L487" s="226"/>
      <c r="M487" s="226"/>
      <c r="N487" s="226"/>
      <c r="O487" s="226"/>
      <c r="P487" s="226"/>
      <c r="Q487" s="226"/>
      <c r="R487" s="226"/>
      <c r="S487" s="226"/>
      <c r="T487" s="226"/>
      <c r="U487" s="226"/>
      <c r="V487" s="226"/>
      <c r="W487" s="226"/>
      <c r="X487" s="226"/>
    </row>
    <row r="488" spans="1:24" ht="14.25" x14ac:dyDescent="0.2">
      <c r="A488" s="226"/>
      <c r="B488" s="226"/>
      <c r="C488" s="226"/>
      <c r="D488" s="226"/>
      <c r="E488" s="226"/>
      <c r="F488" s="226"/>
      <c r="G488" s="226"/>
      <c r="H488" s="226"/>
      <c r="I488" s="226"/>
      <c r="J488" s="226"/>
      <c r="K488" s="226"/>
      <c r="L488" s="226"/>
      <c r="M488" s="226"/>
      <c r="N488" s="226"/>
      <c r="O488" s="226"/>
      <c r="P488" s="226"/>
      <c r="Q488" s="226"/>
      <c r="R488" s="226"/>
      <c r="S488" s="226"/>
      <c r="T488" s="226"/>
      <c r="U488" s="226"/>
      <c r="V488" s="226"/>
      <c r="W488" s="226"/>
      <c r="X488" s="226"/>
    </row>
    <row r="489" spans="1:24" ht="14.25" x14ac:dyDescent="0.2">
      <c r="A489" s="226"/>
      <c r="B489" s="226"/>
      <c r="C489" s="226"/>
      <c r="D489" s="226"/>
      <c r="E489" s="226"/>
      <c r="F489" s="226"/>
      <c r="G489" s="226"/>
      <c r="H489" s="226"/>
      <c r="I489" s="226"/>
      <c r="J489" s="226"/>
      <c r="K489" s="226"/>
      <c r="L489" s="226"/>
      <c r="M489" s="226"/>
      <c r="N489" s="226"/>
      <c r="O489" s="226"/>
      <c r="P489" s="226"/>
      <c r="Q489" s="226"/>
      <c r="R489" s="226"/>
      <c r="S489" s="226"/>
      <c r="T489" s="226"/>
      <c r="U489" s="226"/>
      <c r="V489" s="226"/>
      <c r="W489" s="226"/>
      <c r="X489" s="226"/>
    </row>
    <row r="490" spans="1:24" ht="14.25" x14ac:dyDescent="0.2">
      <c r="A490" s="226"/>
      <c r="B490" s="226"/>
      <c r="C490" s="226"/>
      <c r="D490" s="226"/>
      <c r="E490" s="226"/>
      <c r="F490" s="226"/>
      <c r="G490" s="226"/>
      <c r="H490" s="226"/>
      <c r="I490" s="226"/>
      <c r="J490" s="226"/>
      <c r="K490" s="226"/>
      <c r="L490" s="226"/>
      <c r="M490" s="226"/>
      <c r="N490" s="226"/>
      <c r="O490" s="226"/>
      <c r="P490" s="226"/>
      <c r="Q490" s="226"/>
      <c r="R490" s="226"/>
      <c r="S490" s="226"/>
      <c r="T490" s="226"/>
      <c r="U490" s="226"/>
      <c r="V490" s="226"/>
      <c r="W490" s="226"/>
      <c r="X490" s="226"/>
    </row>
    <row r="491" spans="1:24" ht="14.25" x14ac:dyDescent="0.2">
      <c r="A491" s="226"/>
      <c r="B491" s="226"/>
      <c r="C491" s="226"/>
      <c r="D491" s="226"/>
      <c r="E491" s="226"/>
      <c r="F491" s="226"/>
      <c r="G491" s="226"/>
      <c r="H491" s="226"/>
      <c r="I491" s="226"/>
      <c r="J491" s="226"/>
      <c r="K491" s="226"/>
      <c r="L491" s="226"/>
      <c r="M491" s="226"/>
      <c r="N491" s="226"/>
      <c r="O491" s="226"/>
      <c r="P491" s="226"/>
      <c r="Q491" s="226"/>
      <c r="R491" s="226"/>
      <c r="S491" s="226"/>
      <c r="T491" s="226"/>
      <c r="U491" s="226"/>
      <c r="V491" s="226"/>
      <c r="W491" s="226"/>
      <c r="X491" s="226"/>
    </row>
    <row r="492" spans="1:24" ht="14.25" x14ac:dyDescent="0.2">
      <c r="A492" s="226"/>
      <c r="B492" s="226"/>
      <c r="C492" s="226"/>
      <c r="D492" s="226"/>
      <c r="E492" s="226"/>
      <c r="F492" s="226"/>
      <c r="G492" s="226"/>
      <c r="H492" s="226"/>
      <c r="I492" s="226"/>
      <c r="J492" s="226"/>
      <c r="K492" s="226"/>
      <c r="L492" s="226"/>
      <c r="M492" s="226"/>
      <c r="N492" s="226"/>
      <c r="O492" s="226"/>
      <c r="P492" s="226"/>
      <c r="Q492" s="226"/>
      <c r="R492" s="226"/>
      <c r="S492" s="226"/>
      <c r="T492" s="226"/>
      <c r="U492" s="226"/>
      <c r="V492" s="226"/>
      <c r="W492" s="226"/>
      <c r="X492" s="226"/>
    </row>
    <row r="493" spans="1:24" ht="14.25" x14ac:dyDescent="0.2">
      <c r="A493" s="226"/>
      <c r="B493" s="226"/>
      <c r="C493" s="226"/>
      <c r="D493" s="226"/>
      <c r="E493" s="226"/>
      <c r="F493" s="226"/>
      <c r="G493" s="226"/>
      <c r="H493" s="226"/>
      <c r="I493" s="226"/>
      <c r="J493" s="226"/>
      <c r="K493" s="226"/>
      <c r="L493" s="226"/>
      <c r="M493" s="226"/>
      <c r="N493" s="226"/>
      <c r="O493" s="226"/>
      <c r="P493" s="226"/>
      <c r="Q493" s="226"/>
      <c r="R493" s="226"/>
      <c r="S493" s="226"/>
      <c r="T493" s="226"/>
      <c r="U493" s="226"/>
      <c r="V493" s="226"/>
      <c r="W493" s="226"/>
      <c r="X493" s="226"/>
    </row>
    <row r="494" spans="1:24" ht="14.25" x14ac:dyDescent="0.2">
      <c r="A494" s="226"/>
      <c r="B494" s="226"/>
      <c r="C494" s="226"/>
      <c r="D494" s="226"/>
      <c r="E494" s="226"/>
      <c r="F494" s="226"/>
      <c r="G494" s="226"/>
      <c r="H494" s="226"/>
      <c r="I494" s="226"/>
      <c r="J494" s="226"/>
      <c r="K494" s="226"/>
      <c r="L494" s="226"/>
      <c r="M494" s="226"/>
      <c r="N494" s="226"/>
      <c r="O494" s="226"/>
      <c r="P494" s="226"/>
      <c r="Q494" s="226"/>
      <c r="R494" s="226"/>
      <c r="S494" s="226"/>
      <c r="T494" s="226"/>
      <c r="U494" s="226"/>
      <c r="V494" s="226"/>
      <c r="W494" s="226"/>
      <c r="X494" s="226"/>
    </row>
    <row r="495" spans="1:24" ht="14.25" x14ac:dyDescent="0.2">
      <c r="A495" s="226"/>
      <c r="B495" s="226"/>
      <c r="C495" s="226"/>
      <c r="D495" s="226"/>
      <c r="E495" s="226"/>
      <c r="F495" s="226"/>
      <c r="G495" s="226"/>
      <c r="H495" s="226"/>
      <c r="I495" s="226"/>
      <c r="J495" s="226"/>
      <c r="K495" s="226"/>
      <c r="L495" s="226"/>
      <c r="M495" s="226"/>
      <c r="N495" s="226"/>
      <c r="O495" s="226"/>
      <c r="P495" s="226"/>
      <c r="Q495" s="226"/>
      <c r="R495" s="226"/>
      <c r="S495" s="226"/>
      <c r="T495" s="226"/>
      <c r="U495" s="226"/>
      <c r="V495" s="226"/>
      <c r="W495" s="226"/>
      <c r="X495" s="226"/>
    </row>
    <row r="496" spans="1:24" ht="14.25" x14ac:dyDescent="0.2">
      <c r="A496" s="226"/>
      <c r="B496" s="226"/>
      <c r="C496" s="226"/>
      <c r="D496" s="226"/>
      <c r="E496" s="226"/>
      <c r="F496" s="226"/>
      <c r="G496" s="226"/>
      <c r="H496" s="226"/>
      <c r="I496" s="226"/>
      <c r="J496" s="226"/>
      <c r="K496" s="226"/>
      <c r="L496" s="226"/>
      <c r="M496" s="226"/>
      <c r="N496" s="226"/>
      <c r="O496" s="226"/>
      <c r="P496" s="226"/>
      <c r="Q496" s="226"/>
      <c r="R496" s="226"/>
      <c r="S496" s="226"/>
      <c r="T496" s="226"/>
      <c r="U496" s="226"/>
      <c r="V496" s="226"/>
      <c r="W496" s="226"/>
      <c r="X496" s="226"/>
    </row>
    <row r="497" spans="1:24" ht="14.25" x14ac:dyDescent="0.2">
      <c r="A497" s="226"/>
      <c r="B497" s="226"/>
      <c r="C497" s="226"/>
      <c r="D497" s="226"/>
      <c r="E497" s="226"/>
      <c r="F497" s="226"/>
      <c r="G497" s="226"/>
      <c r="H497" s="226"/>
      <c r="I497" s="226"/>
      <c r="J497" s="226"/>
      <c r="K497" s="226"/>
      <c r="L497" s="226"/>
      <c r="M497" s="226"/>
      <c r="N497" s="226"/>
      <c r="O497" s="226"/>
      <c r="P497" s="226"/>
      <c r="Q497" s="226"/>
      <c r="R497" s="226"/>
      <c r="S497" s="226"/>
      <c r="T497" s="226"/>
      <c r="U497" s="226"/>
      <c r="V497" s="226"/>
      <c r="W497" s="226"/>
      <c r="X497" s="226"/>
    </row>
    <row r="498" spans="1:24" ht="14.25" x14ac:dyDescent="0.2">
      <c r="A498" s="226"/>
      <c r="B498" s="226"/>
      <c r="C498" s="226"/>
      <c r="D498" s="226"/>
      <c r="E498" s="226"/>
      <c r="F498" s="226"/>
      <c r="G498" s="226"/>
      <c r="H498" s="226"/>
      <c r="I498" s="226"/>
      <c r="J498" s="226"/>
      <c r="K498" s="226"/>
      <c r="L498" s="226"/>
      <c r="M498" s="226"/>
      <c r="N498" s="226"/>
      <c r="O498" s="226"/>
      <c r="P498" s="226"/>
      <c r="Q498" s="226"/>
      <c r="R498" s="226"/>
      <c r="S498" s="226"/>
      <c r="T498" s="226"/>
      <c r="U498" s="226"/>
      <c r="V498" s="226"/>
      <c r="W498" s="226"/>
      <c r="X498" s="226"/>
    </row>
    <row r="499" spans="1:24" ht="14.25" x14ac:dyDescent="0.2">
      <c r="A499" s="226"/>
      <c r="B499" s="226"/>
      <c r="C499" s="226"/>
      <c r="D499" s="226"/>
      <c r="E499" s="226"/>
      <c r="F499" s="226"/>
      <c r="G499" s="226"/>
      <c r="H499" s="226"/>
      <c r="I499" s="226"/>
      <c r="J499" s="226"/>
      <c r="K499" s="226"/>
      <c r="L499" s="226"/>
      <c r="M499" s="226"/>
      <c r="N499" s="226"/>
      <c r="O499" s="226"/>
      <c r="P499" s="226"/>
      <c r="Q499" s="226"/>
      <c r="R499" s="226"/>
      <c r="S499" s="226"/>
      <c r="T499" s="226"/>
      <c r="U499" s="226"/>
      <c r="V499" s="226"/>
      <c r="W499" s="226"/>
      <c r="X499" s="226"/>
    </row>
    <row r="500" spans="1:24" ht="14.25" x14ac:dyDescent="0.2">
      <c r="A500" s="226"/>
      <c r="B500" s="226"/>
      <c r="C500" s="226"/>
      <c r="D500" s="226"/>
      <c r="E500" s="226"/>
      <c r="F500" s="226"/>
      <c r="G500" s="226"/>
      <c r="H500" s="226"/>
      <c r="I500" s="226"/>
      <c r="J500" s="226"/>
      <c r="K500" s="226"/>
      <c r="L500" s="226"/>
      <c r="M500" s="226"/>
      <c r="N500" s="226"/>
      <c r="O500" s="226"/>
      <c r="P500" s="226"/>
      <c r="Q500" s="226"/>
      <c r="R500" s="226"/>
      <c r="S500" s="226"/>
      <c r="T500" s="226"/>
      <c r="U500" s="226"/>
      <c r="V500" s="226"/>
      <c r="W500" s="226"/>
      <c r="X500" s="226"/>
    </row>
    <row r="501" spans="1:24" ht="14.25" x14ac:dyDescent="0.2">
      <c r="A501" s="226"/>
      <c r="B501" s="226"/>
      <c r="C501" s="226"/>
      <c r="D501" s="226"/>
      <c r="E501" s="226"/>
      <c r="F501" s="226"/>
      <c r="G501" s="226"/>
      <c r="H501" s="226"/>
      <c r="I501" s="226"/>
      <c r="J501" s="226"/>
      <c r="K501" s="226"/>
      <c r="L501" s="226"/>
      <c r="M501" s="226"/>
      <c r="N501" s="226"/>
      <c r="O501" s="226"/>
      <c r="P501" s="226"/>
      <c r="Q501" s="226"/>
      <c r="R501" s="226"/>
      <c r="S501" s="226"/>
      <c r="T501" s="226"/>
      <c r="U501" s="226"/>
      <c r="V501" s="226"/>
      <c r="W501" s="226"/>
      <c r="X501" s="226"/>
    </row>
    <row r="502" spans="1:24" ht="14.25" x14ac:dyDescent="0.2">
      <c r="A502" s="226"/>
      <c r="B502" s="226"/>
      <c r="C502" s="226"/>
      <c r="D502" s="226"/>
      <c r="E502" s="226"/>
      <c r="F502" s="226"/>
      <c r="G502" s="226"/>
      <c r="H502" s="226"/>
      <c r="I502" s="226"/>
      <c r="J502" s="226"/>
      <c r="K502" s="226"/>
      <c r="L502" s="226"/>
      <c r="M502" s="226"/>
      <c r="N502" s="226"/>
      <c r="O502" s="226"/>
      <c r="P502" s="226"/>
      <c r="Q502" s="226"/>
      <c r="R502" s="226"/>
      <c r="S502" s="226"/>
      <c r="T502" s="226"/>
      <c r="U502" s="226"/>
      <c r="V502" s="226"/>
      <c r="W502" s="226"/>
      <c r="X502" s="226"/>
    </row>
    <row r="503" spans="1:24" ht="14.25" x14ac:dyDescent="0.2">
      <c r="A503" s="226"/>
      <c r="B503" s="226"/>
      <c r="C503" s="226"/>
      <c r="D503" s="226"/>
      <c r="E503" s="226"/>
      <c r="F503" s="226"/>
      <c r="G503" s="226"/>
      <c r="H503" s="226"/>
      <c r="I503" s="226"/>
      <c r="J503" s="226"/>
      <c r="K503" s="226"/>
      <c r="L503" s="226"/>
      <c r="M503" s="226"/>
      <c r="N503" s="226"/>
      <c r="O503" s="226"/>
      <c r="P503" s="226"/>
      <c r="Q503" s="226"/>
      <c r="R503" s="226"/>
      <c r="S503" s="226"/>
      <c r="T503" s="226"/>
      <c r="U503" s="226"/>
      <c r="V503" s="226"/>
      <c r="W503" s="226"/>
      <c r="X503" s="226"/>
    </row>
    <row r="504" spans="1:24" ht="14.25" x14ac:dyDescent="0.2">
      <c r="A504" s="226"/>
      <c r="B504" s="226"/>
      <c r="C504" s="226"/>
      <c r="D504" s="226"/>
      <c r="E504" s="226"/>
      <c r="F504" s="226"/>
      <c r="G504" s="226"/>
      <c r="H504" s="226"/>
      <c r="I504" s="226"/>
      <c r="J504" s="226"/>
      <c r="K504" s="226"/>
      <c r="L504" s="226"/>
      <c r="M504" s="226"/>
      <c r="N504" s="226"/>
      <c r="O504" s="226"/>
      <c r="P504" s="226"/>
      <c r="Q504" s="226"/>
      <c r="R504" s="226"/>
      <c r="S504" s="226"/>
      <c r="T504" s="226"/>
      <c r="U504" s="226"/>
      <c r="V504" s="226"/>
      <c r="W504" s="226"/>
      <c r="X504" s="226"/>
    </row>
    <row r="505" spans="1:24" ht="14.25" x14ac:dyDescent="0.2">
      <c r="A505" s="226"/>
      <c r="B505" s="226"/>
      <c r="C505" s="226"/>
      <c r="D505" s="226"/>
      <c r="E505" s="226"/>
      <c r="F505" s="226"/>
      <c r="G505" s="226"/>
      <c r="H505" s="226"/>
      <c r="I505" s="226"/>
      <c r="J505" s="226"/>
      <c r="K505" s="226"/>
      <c r="L505" s="226"/>
      <c r="M505" s="226"/>
      <c r="N505" s="226"/>
      <c r="O505" s="226"/>
      <c r="P505" s="226"/>
      <c r="Q505" s="226"/>
      <c r="R505" s="226"/>
      <c r="S505" s="226"/>
      <c r="T505" s="226"/>
      <c r="U505" s="226"/>
      <c r="V505" s="226"/>
      <c r="W505" s="226"/>
      <c r="X505" s="226"/>
    </row>
    <row r="506" spans="1:24" ht="14.25" x14ac:dyDescent="0.2">
      <c r="A506" s="226"/>
      <c r="B506" s="226"/>
      <c r="C506" s="226"/>
      <c r="D506" s="226"/>
      <c r="E506" s="226"/>
      <c r="F506" s="226"/>
      <c r="G506" s="226"/>
      <c r="H506" s="226"/>
      <c r="I506" s="226"/>
      <c r="J506" s="226"/>
      <c r="K506" s="226"/>
      <c r="L506" s="226"/>
      <c r="M506" s="226"/>
      <c r="N506" s="226"/>
      <c r="O506" s="226"/>
      <c r="P506" s="226"/>
      <c r="Q506" s="226"/>
      <c r="R506" s="226"/>
      <c r="S506" s="226"/>
      <c r="T506" s="226"/>
      <c r="U506" s="226"/>
      <c r="V506" s="226"/>
      <c r="W506" s="226"/>
      <c r="X506" s="226"/>
    </row>
    <row r="507" spans="1:24" ht="14.25" x14ac:dyDescent="0.2">
      <c r="A507" s="226"/>
      <c r="B507" s="226"/>
      <c r="C507" s="226"/>
      <c r="D507" s="226"/>
      <c r="E507" s="226"/>
      <c r="F507" s="226"/>
      <c r="G507" s="226"/>
      <c r="H507" s="226"/>
      <c r="I507" s="226"/>
      <c r="J507" s="226"/>
      <c r="K507" s="226"/>
      <c r="L507" s="226"/>
      <c r="M507" s="226"/>
      <c r="N507" s="226"/>
      <c r="O507" s="226"/>
      <c r="P507" s="226"/>
      <c r="Q507" s="226"/>
      <c r="R507" s="226"/>
      <c r="S507" s="226"/>
      <c r="T507" s="226"/>
      <c r="U507" s="226"/>
      <c r="V507" s="226"/>
      <c r="W507" s="226"/>
      <c r="X507" s="226"/>
    </row>
    <row r="508" spans="1:24" ht="14.25" x14ac:dyDescent="0.2">
      <c r="A508" s="226"/>
      <c r="B508" s="226"/>
      <c r="C508" s="226"/>
      <c r="D508" s="226"/>
      <c r="E508" s="226"/>
      <c r="F508" s="226"/>
      <c r="G508" s="226"/>
      <c r="H508" s="226"/>
      <c r="I508" s="226"/>
      <c r="J508" s="226"/>
      <c r="K508" s="226"/>
      <c r="L508" s="226"/>
      <c r="M508" s="226"/>
      <c r="N508" s="226"/>
      <c r="O508" s="226"/>
      <c r="P508" s="226"/>
      <c r="Q508" s="226"/>
      <c r="R508" s="226"/>
      <c r="S508" s="226"/>
      <c r="T508" s="226"/>
      <c r="U508" s="226"/>
      <c r="V508" s="226"/>
      <c r="W508" s="226"/>
      <c r="X508" s="226"/>
    </row>
    <row r="509" spans="1:24" ht="14.25" x14ac:dyDescent="0.2">
      <c r="A509" s="226"/>
      <c r="B509" s="226"/>
      <c r="C509" s="226"/>
      <c r="D509" s="226"/>
      <c r="E509" s="226"/>
      <c r="F509" s="226"/>
      <c r="G509" s="226"/>
      <c r="H509" s="226"/>
      <c r="I509" s="226"/>
      <c r="J509" s="226"/>
      <c r="K509" s="226"/>
      <c r="L509" s="226"/>
      <c r="M509" s="226"/>
      <c r="N509" s="226"/>
      <c r="O509" s="226"/>
      <c r="P509" s="226"/>
      <c r="Q509" s="226"/>
      <c r="R509" s="226"/>
      <c r="S509" s="226"/>
      <c r="T509" s="226"/>
      <c r="U509" s="226"/>
      <c r="V509" s="226"/>
      <c r="W509" s="226"/>
      <c r="X509" s="226"/>
    </row>
    <row r="510" spans="1:24" ht="14.25" x14ac:dyDescent="0.2">
      <c r="A510" s="226"/>
      <c r="B510" s="226"/>
      <c r="C510" s="226"/>
      <c r="D510" s="226"/>
      <c r="E510" s="226"/>
      <c r="F510" s="226"/>
      <c r="G510" s="226"/>
      <c r="H510" s="226"/>
      <c r="I510" s="226"/>
      <c r="J510" s="226"/>
      <c r="K510" s="226"/>
      <c r="L510" s="226"/>
      <c r="M510" s="226"/>
      <c r="N510" s="226"/>
      <c r="O510" s="226"/>
      <c r="P510" s="226"/>
      <c r="Q510" s="226"/>
      <c r="R510" s="226"/>
      <c r="S510" s="226"/>
      <c r="T510" s="226"/>
      <c r="U510" s="226"/>
      <c r="V510" s="226"/>
      <c r="W510" s="226"/>
      <c r="X510" s="226"/>
    </row>
    <row r="511" spans="1:24" ht="14.25" x14ac:dyDescent="0.2">
      <c r="A511" s="226"/>
      <c r="B511" s="226"/>
      <c r="C511" s="226"/>
      <c r="D511" s="226"/>
      <c r="E511" s="226"/>
      <c r="F511" s="226"/>
      <c r="G511" s="226"/>
      <c r="H511" s="226"/>
      <c r="I511" s="226"/>
      <c r="J511" s="226"/>
      <c r="K511" s="226"/>
      <c r="L511" s="226"/>
      <c r="M511" s="226"/>
      <c r="N511" s="226"/>
      <c r="O511" s="226"/>
      <c r="P511" s="226"/>
      <c r="Q511" s="226"/>
      <c r="R511" s="226"/>
      <c r="S511" s="226"/>
      <c r="T511" s="226"/>
      <c r="U511" s="226"/>
      <c r="V511" s="226"/>
      <c r="W511" s="226"/>
      <c r="X511" s="226"/>
    </row>
    <row r="512" spans="1:24" ht="14.25" x14ac:dyDescent="0.2">
      <c r="A512" s="226"/>
      <c r="B512" s="226"/>
      <c r="C512" s="226"/>
      <c r="D512" s="226"/>
      <c r="E512" s="226"/>
      <c r="F512" s="226"/>
      <c r="G512" s="226"/>
      <c r="H512" s="226"/>
      <c r="I512" s="226"/>
      <c r="J512" s="226"/>
      <c r="K512" s="226"/>
      <c r="L512" s="226"/>
      <c r="M512" s="226"/>
      <c r="N512" s="226"/>
      <c r="O512" s="226"/>
      <c r="P512" s="226"/>
      <c r="Q512" s="226"/>
      <c r="R512" s="226"/>
      <c r="S512" s="226"/>
      <c r="T512" s="226"/>
      <c r="U512" s="226"/>
      <c r="V512" s="226"/>
      <c r="W512" s="226"/>
      <c r="X512" s="226"/>
    </row>
    <row r="513" spans="1:24" ht="14.25" x14ac:dyDescent="0.2">
      <c r="A513" s="226"/>
      <c r="B513" s="226"/>
      <c r="C513" s="226"/>
      <c r="D513" s="226"/>
      <c r="E513" s="226"/>
      <c r="F513" s="226"/>
      <c r="G513" s="226"/>
      <c r="H513" s="226"/>
      <c r="I513" s="226"/>
      <c r="J513" s="226"/>
      <c r="K513" s="226"/>
      <c r="L513" s="226"/>
      <c r="M513" s="226"/>
      <c r="N513" s="226"/>
      <c r="O513" s="226"/>
      <c r="P513" s="226"/>
      <c r="Q513" s="226"/>
      <c r="R513" s="226"/>
      <c r="S513" s="226"/>
      <c r="T513" s="226"/>
      <c r="U513" s="226"/>
      <c r="V513" s="226"/>
      <c r="W513" s="226"/>
      <c r="X513" s="226"/>
    </row>
    <row r="514" spans="1:24" ht="14.25" x14ac:dyDescent="0.2">
      <c r="A514" s="226"/>
      <c r="B514" s="226"/>
      <c r="C514" s="226"/>
      <c r="D514" s="226"/>
      <c r="E514" s="226"/>
      <c r="F514" s="226"/>
      <c r="G514" s="226"/>
      <c r="H514" s="226"/>
      <c r="I514" s="226"/>
      <c r="J514" s="226"/>
      <c r="K514" s="226"/>
      <c r="L514" s="226"/>
      <c r="M514" s="226"/>
      <c r="N514" s="226"/>
      <c r="O514" s="226"/>
      <c r="P514" s="226"/>
      <c r="Q514" s="226"/>
      <c r="R514" s="226"/>
      <c r="S514" s="226"/>
      <c r="T514" s="226"/>
      <c r="U514" s="226"/>
      <c r="V514" s="226"/>
      <c r="W514" s="226"/>
      <c r="X514" s="226"/>
    </row>
    <row r="515" spans="1:24" ht="14.25" x14ac:dyDescent="0.2">
      <c r="A515" s="226"/>
      <c r="B515" s="226"/>
      <c r="C515" s="226"/>
      <c r="D515" s="226"/>
      <c r="E515" s="226"/>
      <c r="F515" s="226"/>
      <c r="G515" s="226"/>
      <c r="H515" s="226"/>
      <c r="I515" s="226"/>
      <c r="J515" s="226"/>
      <c r="K515" s="226"/>
      <c r="L515" s="226"/>
      <c r="M515" s="226"/>
      <c r="N515" s="226"/>
      <c r="O515" s="226"/>
      <c r="P515" s="226"/>
      <c r="Q515" s="226"/>
      <c r="R515" s="226"/>
      <c r="S515" s="226"/>
      <c r="T515" s="226"/>
      <c r="U515" s="226"/>
      <c r="V515" s="226"/>
      <c r="W515" s="226"/>
      <c r="X515" s="226"/>
    </row>
    <row r="516" spans="1:24" ht="14.25" x14ac:dyDescent="0.2">
      <c r="A516" s="226"/>
      <c r="B516" s="226"/>
      <c r="C516" s="226"/>
      <c r="D516" s="226"/>
      <c r="E516" s="226"/>
      <c r="F516" s="226"/>
      <c r="G516" s="226"/>
      <c r="H516" s="226"/>
      <c r="I516" s="226"/>
      <c r="J516" s="226"/>
      <c r="K516" s="226"/>
      <c r="L516" s="226"/>
      <c r="M516" s="226"/>
      <c r="N516" s="226"/>
      <c r="O516" s="226"/>
      <c r="P516" s="226"/>
      <c r="Q516" s="226"/>
      <c r="R516" s="226"/>
      <c r="S516" s="226"/>
      <c r="T516" s="226"/>
      <c r="U516" s="226"/>
      <c r="V516" s="226"/>
      <c r="W516" s="226"/>
      <c r="X516" s="226"/>
    </row>
    <row r="517" spans="1:24" ht="14.25" x14ac:dyDescent="0.2">
      <c r="A517" s="226"/>
      <c r="B517" s="226"/>
      <c r="C517" s="226"/>
      <c r="D517" s="226"/>
      <c r="E517" s="226"/>
      <c r="F517" s="226"/>
      <c r="G517" s="226"/>
      <c r="H517" s="226"/>
      <c r="I517" s="226"/>
      <c r="J517" s="226"/>
      <c r="K517" s="226"/>
      <c r="L517" s="226"/>
      <c r="M517" s="226"/>
      <c r="N517" s="226"/>
      <c r="O517" s="226"/>
      <c r="P517" s="226"/>
      <c r="Q517" s="226"/>
      <c r="R517" s="226"/>
      <c r="S517" s="226"/>
      <c r="T517" s="226"/>
      <c r="U517" s="226"/>
      <c r="V517" s="226"/>
      <c r="W517" s="226"/>
      <c r="X517" s="226"/>
    </row>
    <row r="518" spans="1:24" ht="14.25" x14ac:dyDescent="0.2">
      <c r="A518" s="226"/>
      <c r="B518" s="226"/>
      <c r="C518" s="226"/>
      <c r="D518" s="226"/>
      <c r="E518" s="226"/>
      <c r="F518" s="226"/>
      <c r="G518" s="226"/>
      <c r="H518" s="226"/>
      <c r="I518" s="226"/>
      <c r="J518" s="226"/>
      <c r="K518" s="226"/>
      <c r="L518" s="226"/>
      <c r="M518" s="226"/>
      <c r="N518" s="226"/>
      <c r="O518" s="226"/>
      <c r="P518" s="226"/>
      <c r="Q518" s="226"/>
      <c r="R518" s="226"/>
      <c r="S518" s="226"/>
      <c r="T518" s="226"/>
      <c r="U518" s="226"/>
      <c r="V518" s="226"/>
      <c r="W518" s="226"/>
      <c r="X518" s="226"/>
    </row>
    <row r="519" spans="1:24" ht="14.25" x14ac:dyDescent="0.2">
      <c r="A519" s="226"/>
      <c r="B519" s="226"/>
      <c r="C519" s="226"/>
      <c r="D519" s="226"/>
      <c r="E519" s="226"/>
      <c r="F519" s="226"/>
      <c r="G519" s="226"/>
      <c r="H519" s="226"/>
      <c r="I519" s="226"/>
      <c r="J519" s="226"/>
      <c r="K519" s="226"/>
      <c r="L519" s="226"/>
      <c r="M519" s="226"/>
      <c r="N519" s="226"/>
      <c r="O519" s="226"/>
      <c r="P519" s="226"/>
      <c r="Q519" s="226"/>
      <c r="R519" s="226"/>
      <c r="S519" s="226"/>
      <c r="T519" s="226"/>
      <c r="U519" s="226"/>
      <c r="V519" s="226"/>
      <c r="W519" s="226"/>
      <c r="X519" s="226"/>
    </row>
    <row r="520" spans="1:24" ht="14.25" x14ac:dyDescent="0.2">
      <c r="A520" s="226"/>
      <c r="B520" s="226"/>
      <c r="C520" s="226"/>
      <c r="D520" s="226"/>
      <c r="E520" s="226"/>
      <c r="F520" s="226"/>
      <c r="G520" s="226"/>
      <c r="H520" s="226"/>
      <c r="I520" s="226"/>
      <c r="J520" s="226"/>
      <c r="K520" s="226"/>
      <c r="L520" s="226"/>
      <c r="M520" s="226"/>
      <c r="N520" s="226"/>
      <c r="O520" s="226"/>
      <c r="P520" s="226"/>
      <c r="Q520" s="226"/>
      <c r="R520" s="226"/>
      <c r="S520" s="226"/>
      <c r="T520" s="226"/>
      <c r="U520" s="226"/>
      <c r="V520" s="226"/>
      <c r="W520" s="226"/>
      <c r="X520" s="226"/>
    </row>
    <row r="521" spans="1:24" ht="14.25" x14ac:dyDescent="0.2">
      <c r="A521" s="226"/>
      <c r="B521" s="226"/>
      <c r="C521" s="226"/>
      <c r="D521" s="226"/>
      <c r="E521" s="226"/>
      <c r="F521" s="226"/>
      <c r="G521" s="226"/>
      <c r="H521" s="226"/>
      <c r="I521" s="226"/>
      <c r="J521" s="226"/>
      <c r="K521" s="226"/>
      <c r="L521" s="226"/>
      <c r="M521" s="226"/>
      <c r="N521" s="226"/>
      <c r="O521" s="226"/>
      <c r="P521" s="226"/>
      <c r="Q521" s="226"/>
      <c r="R521" s="226"/>
      <c r="S521" s="226"/>
      <c r="T521" s="226"/>
      <c r="U521" s="226"/>
      <c r="V521" s="226"/>
      <c r="W521" s="226"/>
      <c r="X521" s="226"/>
    </row>
    <row r="522" spans="1:24" ht="14.25" x14ac:dyDescent="0.2">
      <c r="A522" s="226"/>
      <c r="B522" s="226"/>
      <c r="C522" s="226"/>
      <c r="D522" s="226"/>
      <c r="E522" s="226"/>
      <c r="F522" s="226"/>
      <c r="G522" s="226"/>
      <c r="H522" s="226"/>
      <c r="I522" s="226"/>
      <c r="J522" s="226"/>
      <c r="K522" s="226"/>
      <c r="L522" s="226"/>
      <c r="M522" s="226"/>
      <c r="N522" s="226"/>
      <c r="O522" s="226"/>
      <c r="P522" s="226"/>
      <c r="Q522" s="226"/>
      <c r="R522" s="226"/>
      <c r="S522" s="226"/>
      <c r="T522" s="226"/>
      <c r="U522" s="226"/>
      <c r="V522" s="226"/>
      <c r="W522" s="226"/>
      <c r="X522" s="226"/>
    </row>
    <row r="523" spans="1:24" ht="14.25" x14ac:dyDescent="0.2">
      <c r="A523" s="226"/>
      <c r="B523" s="226"/>
      <c r="C523" s="226"/>
      <c r="D523" s="226"/>
      <c r="E523" s="226"/>
      <c r="F523" s="226"/>
      <c r="G523" s="226"/>
      <c r="H523" s="226"/>
      <c r="I523" s="226"/>
      <c r="J523" s="226"/>
      <c r="K523" s="226"/>
      <c r="L523" s="226"/>
      <c r="M523" s="226"/>
      <c r="N523" s="226"/>
      <c r="O523" s="226"/>
      <c r="P523" s="226"/>
      <c r="Q523" s="226"/>
      <c r="R523" s="226"/>
      <c r="S523" s="226"/>
      <c r="T523" s="226"/>
      <c r="U523" s="226"/>
      <c r="V523" s="226"/>
      <c r="W523" s="226"/>
      <c r="X523" s="226"/>
    </row>
    <row r="524" spans="1:24" ht="14.25" x14ac:dyDescent="0.2">
      <c r="A524" s="226"/>
      <c r="B524" s="226"/>
      <c r="C524" s="226"/>
      <c r="D524" s="226"/>
      <c r="E524" s="226"/>
      <c r="F524" s="226"/>
      <c r="G524" s="226"/>
      <c r="H524" s="226"/>
      <c r="I524" s="226"/>
      <c r="J524" s="226"/>
      <c r="K524" s="226"/>
      <c r="L524" s="226"/>
      <c r="M524" s="226"/>
      <c r="N524" s="226"/>
      <c r="O524" s="226"/>
      <c r="P524" s="226"/>
      <c r="Q524" s="226"/>
      <c r="R524" s="226"/>
      <c r="S524" s="226"/>
      <c r="T524" s="226"/>
      <c r="U524" s="226"/>
      <c r="V524" s="226"/>
      <c r="W524" s="226"/>
      <c r="X524" s="226"/>
    </row>
    <row r="525" spans="1:24" ht="14.25" x14ac:dyDescent="0.2">
      <c r="A525" s="226"/>
      <c r="B525" s="226"/>
      <c r="C525" s="226"/>
      <c r="D525" s="226"/>
      <c r="E525" s="226"/>
      <c r="F525" s="226"/>
      <c r="G525" s="226"/>
      <c r="H525" s="226"/>
      <c r="I525" s="226"/>
      <c r="J525" s="226"/>
      <c r="K525" s="226"/>
      <c r="L525" s="226"/>
      <c r="M525" s="226"/>
      <c r="N525" s="226"/>
      <c r="O525" s="226"/>
      <c r="P525" s="226"/>
      <c r="Q525" s="226"/>
      <c r="R525" s="226"/>
      <c r="S525" s="226"/>
      <c r="T525" s="226"/>
      <c r="U525" s="226"/>
      <c r="V525" s="226"/>
      <c r="W525" s="226"/>
      <c r="X525" s="226"/>
    </row>
    <row r="526" spans="1:24" ht="14.25" x14ac:dyDescent="0.2">
      <c r="A526" s="226"/>
      <c r="B526" s="226"/>
      <c r="C526" s="226"/>
      <c r="D526" s="226"/>
      <c r="E526" s="226"/>
      <c r="F526" s="226"/>
      <c r="G526" s="226"/>
      <c r="H526" s="226"/>
      <c r="I526" s="226"/>
      <c r="J526" s="226"/>
      <c r="K526" s="226"/>
      <c r="L526" s="226"/>
      <c r="M526" s="226"/>
      <c r="N526" s="226"/>
      <c r="O526" s="226"/>
      <c r="P526" s="226"/>
      <c r="Q526" s="226"/>
      <c r="R526" s="226"/>
      <c r="S526" s="226"/>
      <c r="T526" s="226"/>
      <c r="U526" s="226"/>
      <c r="V526" s="226"/>
      <c r="W526" s="226"/>
      <c r="X526" s="226"/>
    </row>
    <row r="527" spans="1:24" ht="14.25" x14ac:dyDescent="0.2">
      <c r="A527" s="226"/>
      <c r="B527" s="226"/>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row>
    <row r="528" spans="1:24" ht="14.25" x14ac:dyDescent="0.2">
      <c r="A528" s="226"/>
      <c r="B528" s="226"/>
      <c r="C528" s="226"/>
      <c r="D528" s="226"/>
      <c r="E528" s="226"/>
      <c r="F528" s="226"/>
      <c r="G528" s="226"/>
      <c r="H528" s="226"/>
      <c r="I528" s="226"/>
      <c r="J528" s="226"/>
      <c r="K528" s="226"/>
      <c r="L528" s="226"/>
      <c r="M528" s="226"/>
      <c r="N528" s="226"/>
      <c r="O528" s="226"/>
      <c r="P528" s="226"/>
      <c r="Q528" s="226"/>
      <c r="R528" s="226"/>
      <c r="S528" s="226"/>
      <c r="T528" s="226"/>
      <c r="U528" s="226"/>
      <c r="V528" s="226"/>
      <c r="W528" s="226"/>
      <c r="X528" s="226"/>
    </row>
    <row r="529" spans="1:24" ht="14.25" x14ac:dyDescent="0.2">
      <c r="A529" s="226"/>
      <c r="B529" s="226"/>
      <c r="C529" s="226"/>
      <c r="D529" s="226"/>
      <c r="E529" s="226"/>
      <c r="F529" s="226"/>
      <c r="G529" s="226"/>
      <c r="H529" s="226"/>
      <c r="I529" s="226"/>
      <c r="J529" s="226"/>
      <c r="K529" s="226"/>
      <c r="L529" s="226"/>
      <c r="M529" s="226"/>
      <c r="N529" s="226"/>
      <c r="O529" s="226"/>
      <c r="P529" s="226"/>
      <c r="Q529" s="226"/>
      <c r="R529" s="226"/>
      <c r="S529" s="226"/>
      <c r="T529" s="226"/>
      <c r="U529" s="226"/>
      <c r="V529" s="226"/>
      <c r="W529" s="226"/>
      <c r="X529" s="226"/>
    </row>
    <row r="530" spans="1:24" ht="14.25" x14ac:dyDescent="0.2">
      <c r="A530" s="226"/>
      <c r="B530" s="226"/>
      <c r="C530" s="226"/>
      <c r="D530" s="226"/>
      <c r="E530" s="226"/>
      <c r="F530" s="226"/>
      <c r="G530" s="226"/>
      <c r="H530" s="226"/>
      <c r="I530" s="226"/>
      <c r="J530" s="226"/>
      <c r="K530" s="226"/>
      <c r="L530" s="226"/>
      <c r="M530" s="226"/>
      <c r="N530" s="226"/>
      <c r="O530" s="226"/>
      <c r="P530" s="226"/>
      <c r="Q530" s="226"/>
      <c r="R530" s="226"/>
      <c r="S530" s="226"/>
      <c r="T530" s="226"/>
      <c r="U530" s="226"/>
      <c r="V530" s="226"/>
      <c r="W530" s="226"/>
      <c r="X530" s="226"/>
    </row>
    <row r="531" spans="1:24" ht="14.25" x14ac:dyDescent="0.2">
      <c r="A531" s="226"/>
      <c r="B531" s="226"/>
      <c r="C531" s="226"/>
      <c r="D531" s="226"/>
      <c r="E531" s="226"/>
      <c r="F531" s="226"/>
      <c r="G531" s="226"/>
      <c r="H531" s="226"/>
      <c r="I531" s="226"/>
      <c r="J531" s="226"/>
      <c r="K531" s="226"/>
      <c r="L531" s="226"/>
      <c r="M531" s="226"/>
      <c r="N531" s="226"/>
      <c r="O531" s="226"/>
      <c r="P531" s="226"/>
      <c r="Q531" s="226"/>
      <c r="R531" s="226"/>
      <c r="S531" s="226"/>
      <c r="T531" s="226"/>
      <c r="U531" s="226"/>
      <c r="V531" s="226"/>
      <c r="W531" s="226"/>
      <c r="X531" s="226"/>
    </row>
    <row r="532" spans="1:24" ht="14.25" x14ac:dyDescent="0.2">
      <c r="A532" s="226"/>
      <c r="B532" s="226"/>
      <c r="C532" s="226"/>
      <c r="D532" s="226"/>
      <c r="E532" s="226"/>
      <c r="F532" s="226"/>
      <c r="G532" s="226"/>
      <c r="H532" s="226"/>
      <c r="I532" s="226"/>
      <c r="J532" s="226"/>
      <c r="K532" s="226"/>
      <c r="L532" s="226"/>
      <c r="M532" s="226"/>
      <c r="N532" s="226"/>
      <c r="O532" s="226"/>
      <c r="P532" s="226"/>
      <c r="Q532" s="226"/>
      <c r="R532" s="226"/>
      <c r="S532" s="226"/>
      <c r="T532" s="226"/>
      <c r="U532" s="226"/>
      <c r="V532" s="226"/>
      <c r="W532" s="226"/>
      <c r="X532" s="226"/>
    </row>
    <row r="533" spans="1:24" ht="14.25" x14ac:dyDescent="0.2">
      <c r="A533" s="226"/>
      <c r="B533" s="226"/>
      <c r="C533" s="226"/>
      <c r="D533" s="226"/>
      <c r="E533" s="226"/>
      <c r="F533" s="226"/>
      <c r="G533" s="226"/>
      <c r="H533" s="226"/>
      <c r="I533" s="226"/>
      <c r="J533" s="226"/>
      <c r="K533" s="226"/>
      <c r="L533" s="226"/>
      <c r="M533" s="226"/>
      <c r="N533" s="226"/>
      <c r="O533" s="226"/>
      <c r="P533" s="226"/>
      <c r="Q533" s="226"/>
      <c r="R533" s="226"/>
      <c r="S533" s="226"/>
      <c r="T533" s="226"/>
      <c r="U533" s="226"/>
      <c r="V533" s="226"/>
      <c r="W533" s="226"/>
      <c r="X533" s="226"/>
    </row>
    <row r="534" spans="1:24" ht="14.25" x14ac:dyDescent="0.2">
      <c r="A534" s="226"/>
      <c r="B534" s="226"/>
      <c r="C534" s="226"/>
      <c r="D534" s="226"/>
      <c r="E534" s="226"/>
      <c r="F534" s="226"/>
      <c r="G534" s="226"/>
      <c r="H534" s="226"/>
      <c r="I534" s="226"/>
      <c r="J534" s="226"/>
      <c r="K534" s="226"/>
      <c r="L534" s="226"/>
      <c r="M534" s="226"/>
      <c r="N534" s="226"/>
      <c r="O534" s="226"/>
      <c r="P534" s="226"/>
      <c r="Q534" s="226"/>
      <c r="R534" s="226"/>
      <c r="S534" s="226"/>
      <c r="T534" s="226"/>
      <c r="U534" s="226"/>
      <c r="V534" s="226"/>
      <c r="W534" s="226"/>
      <c r="X534" s="226"/>
    </row>
    <row r="535" spans="1:24" ht="14.25" x14ac:dyDescent="0.2">
      <c r="A535" s="226"/>
      <c r="B535" s="226"/>
      <c r="C535" s="226"/>
      <c r="D535" s="226"/>
      <c r="E535" s="226"/>
      <c r="F535" s="226"/>
      <c r="G535" s="226"/>
      <c r="H535" s="226"/>
      <c r="I535" s="226"/>
      <c r="J535" s="226"/>
      <c r="K535" s="226"/>
      <c r="L535" s="226"/>
      <c r="M535" s="226"/>
      <c r="N535" s="226"/>
      <c r="O535" s="226"/>
      <c r="P535" s="226"/>
      <c r="Q535" s="226"/>
      <c r="R535" s="226"/>
      <c r="S535" s="226"/>
      <c r="T535" s="226"/>
      <c r="U535" s="226"/>
      <c r="V535" s="226"/>
      <c r="W535" s="226"/>
      <c r="X535" s="226"/>
    </row>
    <row r="536" spans="1:24" ht="14.25" x14ac:dyDescent="0.2">
      <c r="A536" s="226"/>
      <c r="B536" s="226"/>
      <c r="C536" s="226"/>
      <c r="D536" s="226"/>
      <c r="E536" s="226"/>
      <c r="F536" s="226"/>
      <c r="G536" s="226"/>
      <c r="H536" s="226"/>
      <c r="I536" s="226"/>
      <c r="J536" s="226"/>
      <c r="K536" s="226"/>
      <c r="L536" s="226"/>
      <c r="M536" s="226"/>
      <c r="N536" s="226"/>
      <c r="O536" s="226"/>
      <c r="P536" s="226"/>
      <c r="Q536" s="226"/>
      <c r="R536" s="226"/>
      <c r="S536" s="226"/>
      <c r="T536" s="226"/>
      <c r="U536" s="226"/>
      <c r="V536" s="226"/>
      <c r="W536" s="226"/>
      <c r="X536" s="226"/>
    </row>
    <row r="537" spans="1:24" ht="14.25" x14ac:dyDescent="0.2">
      <c r="A537" s="226"/>
      <c r="B537" s="226"/>
      <c r="C537" s="226"/>
      <c r="D537" s="226"/>
      <c r="E537" s="226"/>
      <c r="F537" s="226"/>
      <c r="G537" s="226"/>
      <c r="H537" s="226"/>
      <c r="I537" s="226"/>
      <c r="J537" s="226"/>
      <c r="K537" s="226"/>
      <c r="L537" s="226"/>
      <c r="M537" s="226"/>
      <c r="N537" s="226"/>
      <c r="O537" s="226"/>
      <c r="P537" s="226"/>
      <c r="Q537" s="226"/>
      <c r="R537" s="226"/>
      <c r="S537" s="226"/>
      <c r="T537" s="226"/>
      <c r="U537" s="226"/>
      <c r="V537" s="226"/>
      <c r="W537" s="226"/>
      <c r="X537" s="226"/>
    </row>
    <row r="538" spans="1:24" ht="14.25" x14ac:dyDescent="0.2">
      <c r="A538" s="226"/>
      <c r="B538" s="226"/>
      <c r="C538" s="226"/>
      <c r="D538" s="226"/>
      <c r="E538" s="226"/>
      <c r="F538" s="226"/>
      <c r="G538" s="226"/>
      <c r="H538" s="226"/>
      <c r="I538" s="226"/>
      <c r="J538" s="226"/>
      <c r="K538" s="226"/>
      <c r="L538" s="226"/>
      <c r="M538" s="226"/>
      <c r="N538" s="226"/>
      <c r="O538" s="226"/>
      <c r="P538" s="226"/>
      <c r="Q538" s="226"/>
      <c r="R538" s="226"/>
      <c r="S538" s="226"/>
      <c r="T538" s="226"/>
      <c r="U538" s="226"/>
      <c r="V538" s="226"/>
      <c r="W538" s="226"/>
      <c r="X538" s="226"/>
    </row>
    <row r="539" spans="1:24" ht="14.25" x14ac:dyDescent="0.2">
      <c r="A539" s="226"/>
      <c r="B539" s="226"/>
      <c r="C539" s="226"/>
      <c r="D539" s="226"/>
      <c r="E539" s="226"/>
      <c r="F539" s="226"/>
      <c r="G539" s="226"/>
      <c r="H539" s="226"/>
      <c r="I539" s="226"/>
      <c r="J539" s="226"/>
      <c r="K539" s="226"/>
      <c r="L539" s="226"/>
      <c r="M539" s="226"/>
      <c r="N539" s="226"/>
      <c r="O539" s="226"/>
      <c r="P539" s="226"/>
      <c r="Q539" s="226"/>
      <c r="R539" s="226"/>
      <c r="S539" s="226"/>
      <c r="T539" s="226"/>
      <c r="U539" s="226"/>
      <c r="V539" s="226"/>
      <c r="W539" s="226"/>
      <c r="X539" s="226"/>
    </row>
    <row r="540" spans="1:24" ht="14.25" x14ac:dyDescent="0.2">
      <c r="A540" s="226"/>
      <c r="B540" s="226"/>
      <c r="C540" s="226"/>
      <c r="D540" s="226"/>
      <c r="E540" s="226"/>
      <c r="F540" s="226"/>
      <c r="G540" s="226"/>
      <c r="H540" s="226"/>
      <c r="I540" s="226"/>
      <c r="J540" s="226"/>
      <c r="K540" s="226"/>
      <c r="L540" s="226"/>
      <c r="M540" s="226"/>
      <c r="N540" s="226"/>
      <c r="O540" s="226"/>
      <c r="P540" s="226"/>
      <c r="Q540" s="226"/>
      <c r="R540" s="226"/>
      <c r="S540" s="226"/>
      <c r="T540" s="226"/>
      <c r="U540" s="226"/>
      <c r="V540" s="226"/>
      <c r="W540" s="226"/>
      <c r="X540" s="226"/>
    </row>
    <row r="541" spans="1:24" ht="14.25" x14ac:dyDescent="0.2">
      <c r="A541" s="226"/>
      <c r="B541" s="226"/>
      <c r="C541" s="226"/>
      <c r="D541" s="226"/>
      <c r="E541" s="226"/>
      <c r="F541" s="226"/>
      <c r="G541" s="226"/>
      <c r="H541" s="226"/>
      <c r="I541" s="226"/>
      <c r="J541" s="226"/>
      <c r="K541" s="226"/>
      <c r="L541" s="226"/>
      <c r="M541" s="226"/>
      <c r="N541" s="226"/>
      <c r="O541" s="226"/>
      <c r="P541" s="226"/>
      <c r="Q541" s="226"/>
      <c r="R541" s="226"/>
      <c r="S541" s="226"/>
      <c r="T541" s="226"/>
      <c r="U541" s="226"/>
      <c r="V541" s="226"/>
      <c r="W541" s="226"/>
      <c r="X541" s="226"/>
    </row>
    <row r="542" spans="1:24" ht="14.25" x14ac:dyDescent="0.2">
      <c r="A542" s="226"/>
      <c r="B542" s="226"/>
      <c r="C542" s="226"/>
      <c r="D542" s="226"/>
      <c r="E542" s="226"/>
      <c r="F542" s="226"/>
      <c r="G542" s="226"/>
      <c r="H542" s="226"/>
      <c r="I542" s="226"/>
      <c r="J542" s="226"/>
      <c r="K542" s="226"/>
      <c r="L542" s="226"/>
      <c r="M542" s="226"/>
      <c r="N542" s="226"/>
      <c r="O542" s="226"/>
      <c r="P542" s="226"/>
      <c r="Q542" s="226"/>
      <c r="R542" s="226"/>
      <c r="S542" s="226"/>
      <c r="T542" s="226"/>
      <c r="U542" s="226"/>
      <c r="V542" s="226"/>
      <c r="W542" s="226"/>
      <c r="X542" s="226"/>
    </row>
    <row r="543" spans="1:24" ht="14.25" x14ac:dyDescent="0.2">
      <c r="A543" s="226"/>
      <c r="B543" s="226"/>
      <c r="C543" s="226"/>
      <c r="D543" s="226"/>
      <c r="E543" s="226"/>
      <c r="F543" s="226"/>
      <c r="G543" s="226"/>
      <c r="H543" s="226"/>
      <c r="I543" s="226"/>
      <c r="J543" s="226"/>
      <c r="K543" s="226"/>
      <c r="L543" s="226"/>
      <c r="M543" s="226"/>
      <c r="N543" s="226"/>
      <c r="O543" s="226"/>
      <c r="P543" s="226"/>
      <c r="Q543" s="226"/>
      <c r="R543" s="226"/>
      <c r="S543" s="226"/>
      <c r="T543" s="226"/>
      <c r="U543" s="226"/>
      <c r="V543" s="226"/>
      <c r="W543" s="226"/>
      <c r="X543" s="226"/>
    </row>
    <row r="544" spans="1:24" ht="14.25" x14ac:dyDescent="0.2">
      <c r="A544" s="226"/>
      <c r="B544" s="226"/>
      <c r="C544" s="226"/>
      <c r="D544" s="226"/>
      <c r="E544" s="226"/>
      <c r="F544" s="226"/>
      <c r="G544" s="226"/>
      <c r="H544" s="226"/>
      <c r="I544" s="226"/>
      <c r="J544" s="226"/>
      <c r="K544" s="226"/>
      <c r="L544" s="226"/>
      <c r="M544" s="226"/>
      <c r="N544" s="226"/>
      <c r="O544" s="226"/>
      <c r="P544" s="226"/>
      <c r="Q544" s="226"/>
      <c r="R544" s="226"/>
      <c r="S544" s="226"/>
      <c r="T544" s="226"/>
      <c r="U544" s="226"/>
      <c r="V544" s="226"/>
      <c r="W544" s="226"/>
      <c r="X544" s="226"/>
    </row>
    <row r="545" spans="1:24" ht="14.25" x14ac:dyDescent="0.2">
      <c r="A545" s="226"/>
      <c r="B545" s="226"/>
      <c r="C545" s="226"/>
      <c r="D545" s="226"/>
      <c r="E545" s="226"/>
      <c r="F545" s="226"/>
      <c r="G545" s="226"/>
      <c r="H545" s="226"/>
      <c r="I545" s="226"/>
      <c r="J545" s="226"/>
      <c r="K545" s="226"/>
      <c r="L545" s="226"/>
      <c r="M545" s="226"/>
      <c r="N545" s="226"/>
      <c r="O545" s="226"/>
      <c r="P545" s="226"/>
      <c r="Q545" s="226"/>
      <c r="R545" s="226"/>
      <c r="S545" s="226"/>
      <c r="T545" s="226"/>
      <c r="U545" s="226"/>
      <c r="V545" s="226"/>
      <c r="W545" s="226"/>
      <c r="X545" s="226"/>
    </row>
    <row r="546" spans="1:24" ht="14.25" x14ac:dyDescent="0.2">
      <c r="A546" s="226"/>
      <c r="B546" s="226"/>
      <c r="C546" s="226"/>
      <c r="D546" s="226"/>
      <c r="E546" s="226"/>
      <c r="F546" s="226"/>
      <c r="G546" s="226"/>
      <c r="H546" s="226"/>
      <c r="I546" s="226"/>
      <c r="J546" s="226"/>
      <c r="K546" s="226"/>
      <c r="L546" s="226"/>
      <c r="M546" s="226"/>
      <c r="N546" s="226"/>
      <c r="O546" s="226"/>
      <c r="P546" s="226"/>
      <c r="Q546" s="226"/>
      <c r="R546" s="226"/>
      <c r="S546" s="226"/>
      <c r="T546" s="226"/>
      <c r="U546" s="226"/>
      <c r="V546" s="226"/>
      <c r="W546" s="226"/>
      <c r="X546" s="226"/>
    </row>
    <row r="547" spans="1:24" ht="14.25" x14ac:dyDescent="0.2">
      <c r="A547" s="226"/>
      <c r="B547" s="226"/>
      <c r="C547" s="226"/>
      <c r="D547" s="226"/>
      <c r="E547" s="226"/>
      <c r="F547" s="226"/>
      <c r="G547" s="226"/>
      <c r="H547" s="226"/>
      <c r="I547" s="226"/>
      <c r="J547" s="226"/>
      <c r="K547" s="226"/>
      <c r="L547" s="226"/>
      <c r="M547" s="226"/>
      <c r="N547" s="226"/>
      <c r="O547" s="226"/>
      <c r="P547" s="226"/>
      <c r="Q547" s="226"/>
      <c r="R547" s="226"/>
      <c r="S547" s="226"/>
      <c r="T547" s="226"/>
      <c r="U547" s="226"/>
      <c r="V547" s="226"/>
      <c r="W547" s="226"/>
      <c r="X547" s="226"/>
    </row>
    <row r="548" spans="1:24" ht="14.25" x14ac:dyDescent="0.2">
      <c r="A548" s="226"/>
      <c r="B548" s="226"/>
      <c r="C548" s="226"/>
      <c r="D548" s="226"/>
      <c r="E548" s="226"/>
      <c r="F548" s="226"/>
      <c r="G548" s="226"/>
      <c r="H548" s="226"/>
      <c r="I548" s="226"/>
      <c r="J548" s="226"/>
      <c r="K548" s="226"/>
      <c r="L548" s="226"/>
      <c r="M548" s="226"/>
      <c r="N548" s="226"/>
      <c r="O548" s="226"/>
      <c r="P548" s="226"/>
      <c r="Q548" s="226"/>
      <c r="R548" s="226"/>
      <c r="S548" s="226"/>
      <c r="T548" s="226"/>
      <c r="U548" s="226"/>
      <c r="V548" s="226"/>
      <c r="W548" s="226"/>
      <c r="X548" s="226"/>
    </row>
    <row r="549" spans="1:24" ht="14.25" x14ac:dyDescent="0.2">
      <c r="A549" s="226"/>
      <c r="B549" s="226"/>
      <c r="C549" s="226"/>
      <c r="D549" s="226"/>
      <c r="E549" s="226"/>
      <c r="F549" s="226"/>
      <c r="G549" s="226"/>
      <c r="H549" s="226"/>
      <c r="I549" s="226"/>
      <c r="J549" s="226"/>
      <c r="K549" s="226"/>
      <c r="L549" s="226"/>
      <c r="M549" s="226"/>
      <c r="N549" s="226"/>
      <c r="O549" s="226"/>
      <c r="P549" s="226"/>
      <c r="Q549" s="226"/>
      <c r="R549" s="226"/>
      <c r="S549" s="226"/>
      <c r="T549" s="226"/>
      <c r="U549" s="226"/>
      <c r="V549" s="226"/>
      <c r="W549" s="226"/>
      <c r="X549" s="226"/>
    </row>
    <row r="550" spans="1:24" ht="14.25" x14ac:dyDescent="0.2">
      <c r="A550" s="226"/>
      <c r="B550" s="226"/>
      <c r="C550" s="226"/>
      <c r="D550" s="226"/>
      <c r="E550" s="226"/>
      <c r="F550" s="226"/>
      <c r="G550" s="226"/>
      <c r="H550" s="226"/>
      <c r="I550" s="226"/>
      <c r="J550" s="226"/>
      <c r="K550" s="226"/>
      <c r="L550" s="226"/>
      <c r="M550" s="226"/>
      <c r="N550" s="226"/>
      <c r="O550" s="226"/>
      <c r="P550" s="226"/>
      <c r="Q550" s="226"/>
      <c r="R550" s="226"/>
      <c r="S550" s="226"/>
      <c r="T550" s="226"/>
      <c r="U550" s="226"/>
      <c r="V550" s="226"/>
      <c r="W550" s="226"/>
      <c r="X550" s="226"/>
    </row>
    <row r="551" spans="1:24" ht="14.25" x14ac:dyDescent="0.2">
      <c r="A551" s="226"/>
      <c r="B551" s="226"/>
      <c r="C551" s="226"/>
      <c r="D551" s="226"/>
      <c r="E551" s="226"/>
      <c r="F551" s="226"/>
      <c r="G551" s="226"/>
      <c r="H551" s="226"/>
      <c r="I551" s="226"/>
      <c r="J551" s="226"/>
      <c r="K551" s="226"/>
      <c r="L551" s="226"/>
      <c r="M551" s="226"/>
      <c r="N551" s="226"/>
      <c r="O551" s="226"/>
      <c r="P551" s="226"/>
      <c r="Q551" s="226"/>
      <c r="R551" s="226"/>
      <c r="S551" s="226"/>
      <c r="T551" s="226"/>
      <c r="U551" s="226"/>
      <c r="V551" s="226"/>
      <c r="W551" s="226"/>
      <c r="X551" s="226"/>
    </row>
    <row r="552" spans="1:24" ht="14.25" x14ac:dyDescent="0.2">
      <c r="A552" s="226"/>
      <c r="B552" s="226"/>
      <c r="C552" s="226"/>
      <c r="D552" s="226"/>
      <c r="E552" s="226"/>
      <c r="F552" s="226"/>
      <c r="G552" s="226"/>
      <c r="H552" s="226"/>
      <c r="I552" s="226"/>
      <c r="J552" s="226"/>
      <c r="K552" s="226"/>
      <c r="L552" s="226"/>
      <c r="M552" s="226"/>
      <c r="N552" s="226"/>
      <c r="O552" s="226"/>
      <c r="P552" s="226"/>
      <c r="Q552" s="226"/>
      <c r="R552" s="226"/>
      <c r="S552" s="226"/>
      <c r="T552" s="226"/>
      <c r="U552" s="226"/>
      <c r="V552" s="226"/>
      <c r="W552" s="226"/>
      <c r="X552" s="226"/>
    </row>
    <row r="553" spans="1:24" ht="14.25" x14ac:dyDescent="0.2">
      <c r="A553" s="226"/>
      <c r="B553" s="226"/>
      <c r="C553" s="226"/>
      <c r="D553" s="226"/>
      <c r="E553" s="226"/>
      <c r="F553" s="226"/>
      <c r="G553" s="226"/>
      <c r="H553" s="226"/>
      <c r="I553" s="226"/>
      <c r="J553" s="226"/>
      <c r="K553" s="226"/>
      <c r="L553" s="226"/>
      <c r="M553" s="226"/>
      <c r="N553" s="226"/>
      <c r="O553" s="226"/>
      <c r="P553" s="226"/>
      <c r="Q553" s="226"/>
      <c r="R553" s="226"/>
      <c r="S553" s="226"/>
      <c r="T553" s="226"/>
      <c r="U553" s="226"/>
      <c r="V553" s="226"/>
      <c r="W553" s="226"/>
      <c r="X553" s="226"/>
    </row>
    <row r="554" spans="1:24" ht="14.25" x14ac:dyDescent="0.2">
      <c r="A554" s="226"/>
      <c r="B554" s="226"/>
      <c r="C554" s="226"/>
      <c r="D554" s="226"/>
      <c r="E554" s="226"/>
      <c r="F554" s="226"/>
      <c r="G554" s="226"/>
      <c r="H554" s="226"/>
      <c r="I554" s="226"/>
      <c r="J554" s="226"/>
      <c r="K554" s="226"/>
      <c r="L554" s="226"/>
      <c r="M554" s="226"/>
      <c r="N554" s="226"/>
      <c r="O554" s="226"/>
      <c r="P554" s="226"/>
      <c r="Q554" s="226"/>
      <c r="R554" s="226"/>
      <c r="S554" s="226"/>
      <c r="T554" s="226"/>
      <c r="U554" s="226"/>
      <c r="V554" s="226"/>
      <c r="W554" s="226"/>
      <c r="X554" s="226"/>
    </row>
    <row r="555" spans="1:24" ht="14.25" x14ac:dyDescent="0.2">
      <c r="A555" s="226"/>
      <c r="B555" s="226"/>
      <c r="C555" s="226"/>
      <c r="D555" s="226"/>
      <c r="E555" s="226"/>
      <c r="F555" s="226"/>
      <c r="G555" s="226"/>
      <c r="H555" s="226"/>
      <c r="I555" s="226"/>
      <c r="J555" s="226"/>
      <c r="K555" s="226"/>
      <c r="L555" s="226"/>
      <c r="M555" s="226"/>
      <c r="N555" s="226"/>
      <c r="O555" s="226"/>
      <c r="P555" s="226"/>
      <c r="Q555" s="226"/>
      <c r="R555" s="226"/>
      <c r="S555" s="226"/>
      <c r="T555" s="226"/>
      <c r="U555" s="226"/>
      <c r="V555" s="226"/>
      <c r="W555" s="226"/>
      <c r="X555" s="226"/>
    </row>
    <row r="556" spans="1:24" ht="14.25" x14ac:dyDescent="0.2">
      <c r="A556" s="226"/>
      <c r="B556" s="226"/>
      <c r="C556" s="226"/>
      <c r="D556" s="226"/>
      <c r="E556" s="226"/>
      <c r="F556" s="226"/>
      <c r="G556" s="226"/>
      <c r="H556" s="226"/>
      <c r="I556" s="226"/>
      <c r="J556" s="226"/>
      <c r="K556" s="226"/>
      <c r="L556" s="226"/>
      <c r="M556" s="226"/>
      <c r="N556" s="226"/>
      <c r="O556" s="226"/>
      <c r="P556" s="226"/>
      <c r="Q556" s="226"/>
      <c r="R556" s="226"/>
      <c r="S556" s="226"/>
      <c r="T556" s="226"/>
      <c r="U556" s="226"/>
      <c r="V556" s="226"/>
      <c r="W556" s="226"/>
      <c r="X556" s="226"/>
    </row>
    <row r="557" spans="1:24" ht="14.25" x14ac:dyDescent="0.2">
      <c r="A557" s="226"/>
      <c r="B557" s="226"/>
      <c r="C557" s="226"/>
      <c r="D557" s="226"/>
      <c r="E557" s="226"/>
      <c r="F557" s="226"/>
      <c r="G557" s="226"/>
      <c r="H557" s="226"/>
      <c r="I557" s="226"/>
      <c r="J557" s="226"/>
      <c r="K557" s="226"/>
      <c r="L557" s="226"/>
      <c r="M557" s="226"/>
      <c r="N557" s="226"/>
      <c r="O557" s="226"/>
      <c r="P557" s="226"/>
      <c r="Q557" s="226"/>
      <c r="R557" s="226"/>
      <c r="S557" s="226"/>
      <c r="T557" s="226"/>
      <c r="U557" s="226"/>
      <c r="V557" s="226"/>
      <c r="W557" s="226"/>
      <c r="X557" s="226"/>
    </row>
    <row r="558" spans="1:24" ht="14.25" x14ac:dyDescent="0.2">
      <c r="A558" s="226"/>
      <c r="B558" s="226"/>
      <c r="C558" s="226"/>
      <c r="D558" s="226"/>
      <c r="E558" s="226"/>
      <c r="F558" s="226"/>
      <c r="G558" s="226"/>
      <c r="H558" s="226"/>
      <c r="I558" s="226"/>
      <c r="J558" s="226"/>
      <c r="K558" s="226"/>
      <c r="L558" s="226"/>
      <c r="M558" s="226"/>
      <c r="N558" s="226"/>
      <c r="O558" s="226"/>
      <c r="P558" s="226"/>
      <c r="Q558" s="226"/>
      <c r="R558" s="226"/>
      <c r="S558" s="226"/>
      <c r="T558" s="226"/>
      <c r="U558" s="226"/>
      <c r="V558" s="226"/>
      <c r="W558" s="226"/>
      <c r="X558" s="226"/>
    </row>
    <row r="559" spans="1:24" ht="14.25" x14ac:dyDescent="0.2">
      <c r="A559" s="226"/>
      <c r="B559" s="226"/>
      <c r="C559" s="226"/>
      <c r="D559" s="226"/>
      <c r="E559" s="226"/>
      <c r="F559" s="226"/>
      <c r="G559" s="226"/>
      <c r="H559" s="226"/>
      <c r="I559" s="226"/>
      <c r="J559" s="226"/>
      <c r="K559" s="226"/>
      <c r="L559" s="226"/>
      <c r="M559" s="226"/>
      <c r="N559" s="226"/>
      <c r="O559" s="226"/>
      <c r="P559" s="226"/>
      <c r="Q559" s="226"/>
      <c r="R559" s="226"/>
      <c r="S559" s="226"/>
      <c r="T559" s="226"/>
      <c r="U559" s="226"/>
      <c r="V559" s="226"/>
      <c r="W559" s="226"/>
      <c r="X559" s="226"/>
    </row>
    <row r="560" spans="1:24" ht="14.25" x14ac:dyDescent="0.2">
      <c r="A560" s="226"/>
      <c r="B560" s="226"/>
      <c r="C560" s="226"/>
      <c r="D560" s="226"/>
      <c r="E560" s="226"/>
      <c r="F560" s="226"/>
      <c r="G560" s="226"/>
      <c r="H560" s="226"/>
      <c r="I560" s="226"/>
      <c r="J560" s="226"/>
      <c r="K560" s="226"/>
      <c r="L560" s="226"/>
      <c r="M560" s="226"/>
      <c r="N560" s="226"/>
      <c r="O560" s="226"/>
      <c r="P560" s="226"/>
      <c r="Q560" s="226"/>
      <c r="R560" s="226"/>
      <c r="S560" s="226"/>
      <c r="T560" s="226"/>
      <c r="U560" s="226"/>
      <c r="V560" s="226"/>
      <c r="W560" s="226"/>
      <c r="X560" s="226"/>
    </row>
    <row r="561" spans="1:24" ht="14.25" x14ac:dyDescent="0.2">
      <c r="A561" s="226"/>
      <c r="B561" s="226"/>
      <c r="C561" s="226"/>
      <c r="D561" s="226"/>
      <c r="E561" s="226"/>
      <c r="F561" s="226"/>
      <c r="G561" s="226"/>
      <c r="H561" s="226"/>
      <c r="I561" s="226"/>
      <c r="J561" s="226"/>
      <c r="K561" s="226"/>
      <c r="L561" s="226"/>
      <c r="M561" s="226"/>
      <c r="N561" s="226"/>
      <c r="O561" s="226"/>
      <c r="P561" s="226"/>
      <c r="Q561" s="226"/>
      <c r="R561" s="226"/>
      <c r="S561" s="226"/>
      <c r="T561" s="226"/>
      <c r="U561" s="226"/>
      <c r="V561" s="226"/>
      <c r="W561" s="226"/>
      <c r="X561" s="226"/>
    </row>
    <row r="562" spans="1:24" ht="14.25" x14ac:dyDescent="0.2">
      <c r="A562" s="226"/>
      <c r="B562" s="226"/>
      <c r="C562" s="226"/>
      <c r="D562" s="226"/>
      <c r="E562" s="226"/>
      <c r="F562" s="226"/>
      <c r="G562" s="226"/>
      <c r="H562" s="226"/>
      <c r="I562" s="226"/>
      <c r="J562" s="226"/>
      <c r="K562" s="226"/>
      <c r="L562" s="226"/>
      <c r="M562" s="226"/>
      <c r="N562" s="226"/>
      <c r="O562" s="226"/>
      <c r="P562" s="226"/>
      <c r="Q562" s="226"/>
      <c r="R562" s="226"/>
      <c r="S562" s="226"/>
      <c r="T562" s="226"/>
      <c r="U562" s="226"/>
      <c r="V562" s="226"/>
      <c r="W562" s="226"/>
      <c r="X562" s="226"/>
    </row>
    <row r="563" spans="1:24" ht="14.25" x14ac:dyDescent="0.2">
      <c r="A563" s="226"/>
      <c r="B563" s="226"/>
      <c r="C563" s="226"/>
      <c r="D563" s="226"/>
      <c r="E563" s="226"/>
      <c r="F563" s="226"/>
      <c r="G563" s="226"/>
      <c r="H563" s="226"/>
      <c r="I563" s="226"/>
      <c r="J563" s="226"/>
      <c r="K563" s="226"/>
      <c r="L563" s="226"/>
      <c r="M563" s="226"/>
      <c r="N563" s="226"/>
      <c r="O563" s="226"/>
      <c r="P563" s="226"/>
      <c r="Q563" s="226"/>
      <c r="R563" s="226"/>
      <c r="S563" s="226"/>
      <c r="T563" s="226"/>
      <c r="U563" s="226"/>
      <c r="V563" s="226"/>
      <c r="W563" s="226"/>
      <c r="X563" s="226"/>
    </row>
    <row r="564" spans="1:24" ht="14.25" x14ac:dyDescent="0.2">
      <c r="A564" s="226"/>
      <c r="B564" s="226"/>
      <c r="C564" s="226"/>
      <c r="D564" s="226"/>
      <c r="E564" s="226"/>
      <c r="F564" s="226"/>
      <c r="G564" s="226"/>
      <c r="H564" s="226"/>
      <c r="I564" s="226"/>
      <c r="J564" s="226"/>
      <c r="K564" s="226"/>
      <c r="L564" s="226"/>
      <c r="M564" s="226"/>
      <c r="N564" s="226"/>
      <c r="O564" s="226"/>
      <c r="P564" s="226"/>
      <c r="Q564" s="226"/>
      <c r="R564" s="226"/>
      <c r="S564" s="226"/>
      <c r="T564" s="226"/>
      <c r="U564" s="226"/>
      <c r="V564" s="226"/>
      <c r="W564" s="226"/>
      <c r="X564" s="226"/>
    </row>
    <row r="565" spans="1:24" ht="14.25" x14ac:dyDescent="0.2">
      <c r="A565" s="226"/>
      <c r="B565" s="226"/>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row>
    <row r="566" spans="1:24" ht="14.25" x14ac:dyDescent="0.2">
      <c r="A566" s="226"/>
      <c r="B566" s="226"/>
      <c r="C566" s="226"/>
      <c r="D566" s="226"/>
      <c r="E566" s="226"/>
      <c r="F566" s="226"/>
      <c r="G566" s="226"/>
      <c r="H566" s="226"/>
      <c r="I566" s="226"/>
      <c r="J566" s="226"/>
      <c r="K566" s="226"/>
      <c r="L566" s="226"/>
      <c r="M566" s="226"/>
      <c r="N566" s="226"/>
      <c r="O566" s="226"/>
      <c r="P566" s="226"/>
      <c r="Q566" s="226"/>
      <c r="R566" s="226"/>
      <c r="S566" s="226"/>
      <c r="T566" s="226"/>
      <c r="U566" s="226"/>
      <c r="V566" s="226"/>
      <c r="W566" s="226"/>
      <c r="X566" s="226"/>
    </row>
    <row r="567" spans="1:24" ht="14.25" x14ac:dyDescent="0.2">
      <c r="A567" s="226"/>
      <c r="B567" s="226"/>
      <c r="C567" s="226"/>
      <c r="D567" s="226"/>
      <c r="E567" s="226"/>
      <c r="F567" s="226"/>
      <c r="G567" s="226"/>
      <c r="H567" s="226"/>
      <c r="I567" s="226"/>
      <c r="J567" s="226"/>
      <c r="K567" s="226"/>
      <c r="L567" s="226"/>
      <c r="M567" s="226"/>
      <c r="N567" s="226"/>
      <c r="O567" s="226"/>
      <c r="P567" s="226"/>
      <c r="Q567" s="226"/>
      <c r="R567" s="226"/>
      <c r="S567" s="226"/>
      <c r="T567" s="226"/>
      <c r="U567" s="226"/>
      <c r="V567" s="226"/>
      <c r="W567" s="226"/>
      <c r="X567" s="226"/>
    </row>
    <row r="568" spans="1:24" ht="14.25" x14ac:dyDescent="0.2">
      <c r="A568" s="226"/>
      <c r="B568" s="226"/>
      <c r="C568" s="226"/>
      <c r="D568" s="226"/>
      <c r="E568" s="226"/>
      <c r="F568" s="226"/>
      <c r="G568" s="226"/>
      <c r="H568" s="226"/>
      <c r="I568" s="226"/>
      <c r="J568" s="226"/>
      <c r="K568" s="226"/>
      <c r="L568" s="226"/>
      <c r="M568" s="226"/>
      <c r="N568" s="226"/>
      <c r="O568" s="226"/>
      <c r="P568" s="226"/>
      <c r="Q568" s="226"/>
      <c r="R568" s="226"/>
      <c r="S568" s="226"/>
      <c r="T568" s="226"/>
      <c r="U568" s="226"/>
      <c r="V568" s="226"/>
      <c r="W568" s="226"/>
      <c r="X568" s="226"/>
    </row>
    <row r="569" spans="1:24" ht="14.25" x14ac:dyDescent="0.2">
      <c r="A569" s="226"/>
      <c r="B569" s="226"/>
      <c r="C569" s="226"/>
      <c r="D569" s="226"/>
      <c r="E569" s="226"/>
      <c r="F569" s="226"/>
      <c r="G569" s="226"/>
      <c r="H569" s="226"/>
      <c r="I569" s="226"/>
      <c r="J569" s="226"/>
      <c r="K569" s="226"/>
      <c r="L569" s="226"/>
      <c r="M569" s="226"/>
      <c r="N569" s="226"/>
      <c r="O569" s="226"/>
      <c r="P569" s="226"/>
      <c r="Q569" s="226"/>
      <c r="R569" s="226"/>
      <c r="S569" s="226"/>
      <c r="T569" s="226"/>
      <c r="U569" s="226"/>
      <c r="V569" s="226"/>
      <c r="W569" s="226"/>
      <c r="X569" s="226"/>
    </row>
    <row r="570" spans="1:24" ht="14.25" x14ac:dyDescent="0.2">
      <c r="A570" s="226"/>
      <c r="B570" s="226"/>
      <c r="C570" s="226"/>
      <c r="D570" s="226"/>
      <c r="E570" s="226"/>
      <c r="F570" s="226"/>
      <c r="G570" s="226"/>
      <c r="H570" s="226"/>
      <c r="I570" s="226"/>
      <c r="J570" s="226"/>
      <c r="K570" s="226"/>
      <c r="L570" s="226"/>
      <c r="M570" s="226"/>
      <c r="N570" s="226"/>
      <c r="O570" s="226"/>
      <c r="P570" s="226"/>
      <c r="Q570" s="226"/>
      <c r="R570" s="226"/>
      <c r="S570" s="226"/>
      <c r="T570" s="226"/>
      <c r="U570" s="226"/>
      <c r="V570" s="226"/>
      <c r="W570" s="226"/>
      <c r="X570" s="226"/>
    </row>
    <row r="571" spans="1:24" ht="14.25" x14ac:dyDescent="0.2">
      <c r="A571" s="226"/>
      <c r="B571" s="226"/>
      <c r="C571" s="226"/>
      <c r="D571" s="226"/>
      <c r="E571" s="226"/>
      <c r="F571" s="226"/>
      <c r="G571" s="226"/>
      <c r="H571" s="226"/>
      <c r="I571" s="226"/>
      <c r="J571" s="226"/>
      <c r="K571" s="226"/>
      <c r="L571" s="226"/>
      <c r="M571" s="226"/>
      <c r="N571" s="226"/>
      <c r="O571" s="226"/>
      <c r="P571" s="226"/>
      <c r="Q571" s="226"/>
      <c r="R571" s="226"/>
      <c r="S571" s="226"/>
      <c r="T571" s="226"/>
      <c r="U571" s="226"/>
      <c r="V571" s="226"/>
      <c r="W571" s="226"/>
      <c r="X571" s="226"/>
    </row>
    <row r="572" spans="1:24" ht="14.25" x14ac:dyDescent="0.2">
      <c r="A572" s="226"/>
      <c r="B572" s="226"/>
      <c r="C572" s="226"/>
      <c r="D572" s="226"/>
      <c r="E572" s="226"/>
      <c r="F572" s="226"/>
      <c r="G572" s="226"/>
      <c r="H572" s="226"/>
      <c r="I572" s="226"/>
      <c r="J572" s="226"/>
      <c r="K572" s="226"/>
      <c r="L572" s="226"/>
      <c r="M572" s="226"/>
      <c r="N572" s="226"/>
      <c r="O572" s="226"/>
      <c r="P572" s="226"/>
      <c r="Q572" s="226"/>
      <c r="R572" s="226"/>
      <c r="S572" s="226"/>
      <c r="T572" s="226"/>
      <c r="U572" s="226"/>
      <c r="V572" s="226"/>
      <c r="W572" s="226"/>
      <c r="X572" s="226"/>
    </row>
    <row r="573" spans="1:24" ht="14.25" x14ac:dyDescent="0.2">
      <c r="A573" s="226"/>
      <c r="B573" s="226"/>
      <c r="C573" s="226"/>
      <c r="D573" s="226"/>
      <c r="E573" s="226"/>
      <c r="F573" s="226"/>
      <c r="G573" s="226"/>
      <c r="H573" s="226"/>
      <c r="I573" s="226"/>
      <c r="J573" s="226"/>
      <c r="K573" s="226"/>
      <c r="L573" s="226"/>
      <c r="M573" s="226"/>
      <c r="N573" s="226"/>
      <c r="O573" s="226"/>
      <c r="P573" s="226"/>
      <c r="Q573" s="226"/>
      <c r="R573" s="226"/>
      <c r="S573" s="226"/>
      <c r="T573" s="226"/>
      <c r="U573" s="226"/>
      <c r="V573" s="226"/>
      <c r="W573" s="226"/>
      <c r="X573" s="226"/>
    </row>
    <row r="574" spans="1:24" ht="14.25" x14ac:dyDescent="0.2">
      <c r="A574" s="226"/>
      <c r="B574" s="226"/>
      <c r="C574" s="226"/>
      <c r="D574" s="226"/>
      <c r="E574" s="226"/>
      <c r="F574" s="226"/>
      <c r="G574" s="226"/>
      <c r="H574" s="226"/>
      <c r="I574" s="226"/>
      <c r="J574" s="226"/>
      <c r="K574" s="226"/>
      <c r="L574" s="226"/>
      <c r="M574" s="226"/>
      <c r="N574" s="226"/>
      <c r="O574" s="226"/>
      <c r="P574" s="226"/>
      <c r="Q574" s="226"/>
      <c r="R574" s="226"/>
      <c r="S574" s="226"/>
      <c r="T574" s="226"/>
      <c r="U574" s="226"/>
      <c r="V574" s="226"/>
      <c r="W574" s="226"/>
      <c r="X574" s="226"/>
    </row>
    <row r="575" spans="1:24" ht="14.25" x14ac:dyDescent="0.2">
      <c r="A575" s="226"/>
      <c r="B575" s="226"/>
      <c r="C575" s="226"/>
      <c r="D575" s="226"/>
      <c r="E575" s="226"/>
      <c r="F575" s="226"/>
      <c r="G575" s="226"/>
      <c r="H575" s="226"/>
      <c r="I575" s="226"/>
      <c r="J575" s="226"/>
      <c r="K575" s="226"/>
      <c r="L575" s="226"/>
      <c r="M575" s="226"/>
      <c r="N575" s="226"/>
      <c r="O575" s="226"/>
      <c r="P575" s="226"/>
      <c r="Q575" s="226"/>
      <c r="R575" s="226"/>
      <c r="S575" s="226"/>
      <c r="T575" s="226"/>
      <c r="U575" s="226"/>
      <c r="V575" s="226"/>
      <c r="W575" s="226"/>
      <c r="X575" s="226"/>
    </row>
    <row r="576" spans="1:24" ht="14.25" x14ac:dyDescent="0.2">
      <c r="A576" s="226"/>
      <c r="B576" s="226"/>
      <c r="C576" s="226"/>
      <c r="D576" s="226"/>
      <c r="E576" s="226"/>
      <c r="F576" s="226"/>
      <c r="G576" s="226"/>
      <c r="H576" s="226"/>
      <c r="I576" s="226"/>
      <c r="J576" s="226"/>
      <c r="K576" s="226"/>
      <c r="L576" s="226"/>
      <c r="M576" s="226"/>
      <c r="N576" s="226"/>
      <c r="O576" s="226"/>
      <c r="P576" s="226"/>
      <c r="Q576" s="226"/>
      <c r="R576" s="226"/>
      <c r="S576" s="226"/>
      <c r="T576" s="226"/>
      <c r="U576" s="226"/>
      <c r="V576" s="226"/>
      <c r="W576" s="226"/>
      <c r="X576" s="226"/>
    </row>
    <row r="577" spans="1:24" ht="14.25" x14ac:dyDescent="0.2">
      <c r="A577" s="226"/>
      <c r="B577" s="226"/>
      <c r="C577" s="226"/>
      <c r="D577" s="226"/>
      <c r="E577" s="226"/>
      <c r="F577" s="226"/>
      <c r="G577" s="226"/>
      <c r="H577" s="226"/>
      <c r="I577" s="226"/>
      <c r="J577" s="226"/>
      <c r="K577" s="226"/>
      <c r="L577" s="226"/>
      <c r="M577" s="226"/>
      <c r="N577" s="226"/>
      <c r="O577" s="226"/>
      <c r="P577" s="226"/>
      <c r="Q577" s="226"/>
      <c r="R577" s="226"/>
      <c r="S577" s="226"/>
      <c r="T577" s="226"/>
      <c r="U577" s="226"/>
      <c r="V577" s="226"/>
      <c r="W577" s="226"/>
      <c r="X577" s="226"/>
    </row>
    <row r="578" spans="1:24" ht="14.25" x14ac:dyDescent="0.2">
      <c r="A578" s="226"/>
      <c r="B578" s="226"/>
      <c r="C578" s="226"/>
      <c r="D578" s="226"/>
      <c r="E578" s="226"/>
      <c r="F578" s="226"/>
      <c r="G578" s="226"/>
      <c r="H578" s="226"/>
      <c r="I578" s="226"/>
      <c r="J578" s="226"/>
      <c r="K578" s="226"/>
      <c r="L578" s="226"/>
      <c r="M578" s="226"/>
      <c r="N578" s="226"/>
      <c r="O578" s="226"/>
      <c r="P578" s="226"/>
      <c r="Q578" s="226"/>
      <c r="R578" s="226"/>
      <c r="S578" s="226"/>
      <c r="T578" s="226"/>
      <c r="U578" s="226"/>
      <c r="V578" s="226"/>
      <c r="W578" s="226"/>
      <c r="X578" s="226"/>
    </row>
    <row r="579" spans="1:24" ht="14.25" x14ac:dyDescent="0.2">
      <c r="A579" s="226"/>
      <c r="B579" s="226"/>
      <c r="C579" s="226"/>
      <c r="D579" s="226"/>
      <c r="E579" s="226"/>
      <c r="F579" s="226"/>
      <c r="G579" s="226"/>
      <c r="H579" s="226"/>
      <c r="I579" s="226"/>
      <c r="J579" s="226"/>
      <c r="K579" s="226"/>
      <c r="L579" s="226"/>
      <c r="M579" s="226"/>
      <c r="N579" s="226"/>
      <c r="O579" s="226"/>
      <c r="P579" s="226"/>
      <c r="Q579" s="226"/>
      <c r="R579" s="226"/>
      <c r="S579" s="226"/>
      <c r="T579" s="226"/>
      <c r="U579" s="226"/>
      <c r="V579" s="226"/>
      <c r="W579" s="226"/>
      <c r="X579" s="226"/>
    </row>
    <row r="580" spans="1:24" ht="14.25" x14ac:dyDescent="0.2">
      <c r="A580" s="226"/>
      <c r="B580" s="226"/>
      <c r="C580" s="226"/>
      <c r="D580" s="226"/>
      <c r="E580" s="226"/>
      <c r="F580" s="226"/>
      <c r="G580" s="226"/>
      <c r="H580" s="226"/>
      <c r="I580" s="226"/>
      <c r="J580" s="226"/>
      <c r="K580" s="226"/>
      <c r="L580" s="226"/>
      <c r="M580" s="226"/>
      <c r="N580" s="226"/>
      <c r="O580" s="226"/>
      <c r="P580" s="226"/>
      <c r="Q580" s="226"/>
      <c r="R580" s="226"/>
      <c r="S580" s="226"/>
      <c r="T580" s="226"/>
      <c r="U580" s="226"/>
      <c r="V580" s="226"/>
      <c r="W580" s="226"/>
      <c r="X580" s="226"/>
    </row>
    <row r="581" spans="1:24" ht="14.25" x14ac:dyDescent="0.2">
      <c r="A581" s="226"/>
      <c r="B581" s="226"/>
      <c r="C581" s="226"/>
      <c r="D581" s="226"/>
      <c r="E581" s="226"/>
      <c r="F581" s="226"/>
      <c r="G581" s="226"/>
      <c r="H581" s="226"/>
      <c r="I581" s="226"/>
      <c r="J581" s="226"/>
      <c r="K581" s="226"/>
      <c r="L581" s="226"/>
      <c r="M581" s="226"/>
      <c r="N581" s="226"/>
      <c r="O581" s="226"/>
      <c r="P581" s="226"/>
      <c r="Q581" s="226"/>
      <c r="R581" s="226"/>
      <c r="S581" s="226"/>
      <c r="T581" s="226"/>
      <c r="U581" s="226"/>
      <c r="V581" s="226"/>
      <c r="W581" s="226"/>
      <c r="X581" s="226"/>
    </row>
    <row r="582" spans="1:24" ht="14.25" x14ac:dyDescent="0.2">
      <c r="A582" s="226"/>
      <c r="B582" s="226"/>
      <c r="C582" s="226"/>
      <c r="D582" s="226"/>
      <c r="E582" s="226"/>
      <c r="F582" s="226"/>
      <c r="G582" s="226"/>
      <c r="H582" s="226"/>
      <c r="I582" s="226"/>
      <c r="J582" s="226"/>
      <c r="K582" s="226"/>
      <c r="L582" s="226"/>
      <c r="M582" s="226"/>
      <c r="N582" s="226"/>
      <c r="O582" s="226"/>
      <c r="P582" s="226"/>
      <c r="Q582" s="226"/>
      <c r="R582" s="226"/>
      <c r="S582" s="226"/>
      <c r="T582" s="226"/>
      <c r="U582" s="226"/>
      <c r="V582" s="226"/>
      <c r="W582" s="226"/>
      <c r="X582" s="226"/>
    </row>
    <row r="583" spans="1:24" ht="14.25" x14ac:dyDescent="0.2">
      <c r="A583" s="226"/>
      <c r="B583" s="226"/>
      <c r="C583" s="226"/>
      <c r="D583" s="226"/>
      <c r="E583" s="226"/>
      <c r="F583" s="226"/>
      <c r="G583" s="226"/>
      <c r="H583" s="226"/>
      <c r="I583" s="226"/>
      <c r="J583" s="226"/>
      <c r="K583" s="226"/>
      <c r="L583" s="226"/>
      <c r="M583" s="226"/>
      <c r="N583" s="226"/>
      <c r="O583" s="226"/>
      <c r="P583" s="226"/>
      <c r="Q583" s="226"/>
      <c r="R583" s="226"/>
      <c r="S583" s="226"/>
      <c r="T583" s="226"/>
      <c r="U583" s="226"/>
      <c r="V583" s="226"/>
      <c r="W583" s="226"/>
      <c r="X583" s="226"/>
    </row>
    <row r="584" spans="1:24" ht="14.25" x14ac:dyDescent="0.2">
      <c r="A584" s="226"/>
      <c r="B584" s="226"/>
      <c r="C584" s="226"/>
      <c r="D584" s="226"/>
      <c r="E584" s="226"/>
      <c r="F584" s="226"/>
      <c r="G584" s="226"/>
      <c r="H584" s="226"/>
      <c r="I584" s="226"/>
      <c r="J584" s="226"/>
      <c r="K584" s="226"/>
      <c r="L584" s="226"/>
      <c r="M584" s="226"/>
      <c r="N584" s="226"/>
      <c r="O584" s="226"/>
      <c r="P584" s="226"/>
      <c r="Q584" s="226"/>
      <c r="R584" s="226"/>
      <c r="S584" s="226"/>
      <c r="T584" s="226"/>
      <c r="U584" s="226"/>
      <c r="V584" s="226"/>
      <c r="W584" s="226"/>
      <c r="X584" s="226"/>
    </row>
    <row r="585" spans="1:24" ht="14.25" x14ac:dyDescent="0.2">
      <c r="A585" s="226"/>
      <c r="B585" s="226"/>
      <c r="C585" s="226"/>
      <c r="D585" s="226"/>
      <c r="E585" s="226"/>
      <c r="F585" s="226"/>
      <c r="G585" s="226"/>
      <c r="H585" s="226"/>
      <c r="I585" s="226"/>
      <c r="J585" s="226"/>
      <c r="K585" s="226"/>
      <c r="L585" s="226"/>
      <c r="M585" s="226"/>
      <c r="N585" s="226"/>
      <c r="O585" s="226"/>
      <c r="P585" s="226"/>
      <c r="Q585" s="226"/>
      <c r="R585" s="226"/>
      <c r="S585" s="226"/>
      <c r="T585" s="226"/>
      <c r="U585" s="226"/>
      <c r="V585" s="226"/>
      <c r="W585" s="226"/>
      <c r="X585" s="226"/>
    </row>
    <row r="586" spans="1:24" ht="14.25" x14ac:dyDescent="0.2">
      <c r="A586" s="226"/>
      <c r="B586" s="226"/>
      <c r="C586" s="226"/>
      <c r="D586" s="226"/>
      <c r="E586" s="226"/>
      <c r="F586" s="226"/>
      <c r="G586" s="226"/>
      <c r="H586" s="226"/>
      <c r="I586" s="226"/>
      <c r="J586" s="226"/>
      <c r="K586" s="226"/>
      <c r="L586" s="226"/>
      <c r="M586" s="226"/>
      <c r="N586" s="226"/>
      <c r="O586" s="226"/>
      <c r="P586" s="226"/>
      <c r="Q586" s="226"/>
      <c r="R586" s="226"/>
      <c r="S586" s="226"/>
      <c r="T586" s="226"/>
      <c r="U586" s="226"/>
      <c r="V586" s="226"/>
      <c r="W586" s="226"/>
      <c r="X586" s="226"/>
    </row>
    <row r="587" spans="1:24" ht="14.25" x14ac:dyDescent="0.2">
      <c r="A587" s="226"/>
      <c r="B587" s="226"/>
      <c r="C587" s="226"/>
      <c r="D587" s="226"/>
      <c r="E587" s="226"/>
      <c r="F587" s="226"/>
      <c r="G587" s="226"/>
      <c r="H587" s="226"/>
      <c r="I587" s="226"/>
      <c r="J587" s="226"/>
      <c r="K587" s="226"/>
      <c r="L587" s="226"/>
      <c r="M587" s="226"/>
      <c r="N587" s="226"/>
      <c r="O587" s="226"/>
      <c r="P587" s="226"/>
      <c r="Q587" s="226"/>
      <c r="R587" s="226"/>
      <c r="S587" s="226"/>
      <c r="T587" s="226"/>
      <c r="U587" s="226"/>
      <c r="V587" s="226"/>
      <c r="W587" s="226"/>
      <c r="X587" s="226"/>
    </row>
    <row r="588" spans="1:24" ht="14.25" x14ac:dyDescent="0.2">
      <c r="A588" s="226"/>
      <c r="B588" s="226"/>
      <c r="C588" s="226"/>
      <c r="D588" s="226"/>
      <c r="E588" s="226"/>
      <c r="F588" s="226"/>
      <c r="G588" s="226"/>
      <c r="H588" s="226"/>
      <c r="I588" s="226"/>
      <c r="J588" s="226"/>
      <c r="K588" s="226"/>
      <c r="L588" s="226"/>
      <c r="M588" s="226"/>
      <c r="N588" s="226"/>
      <c r="O588" s="226"/>
      <c r="P588" s="226"/>
      <c r="Q588" s="226"/>
      <c r="R588" s="226"/>
      <c r="S588" s="226"/>
      <c r="T588" s="226"/>
      <c r="U588" s="226"/>
      <c r="V588" s="226"/>
      <c r="W588" s="226"/>
      <c r="X588" s="226"/>
    </row>
    <row r="589" spans="1:24" ht="14.25" x14ac:dyDescent="0.2">
      <c r="A589" s="226"/>
      <c r="B589" s="226"/>
      <c r="C589" s="226"/>
      <c r="D589" s="226"/>
      <c r="E589" s="226"/>
      <c r="F589" s="226"/>
      <c r="G589" s="226"/>
      <c r="H589" s="226"/>
      <c r="I589" s="226"/>
      <c r="J589" s="226"/>
      <c r="K589" s="226"/>
      <c r="L589" s="226"/>
      <c r="M589" s="226"/>
      <c r="N589" s="226"/>
      <c r="O589" s="226"/>
      <c r="P589" s="226"/>
      <c r="Q589" s="226"/>
      <c r="R589" s="226"/>
      <c r="S589" s="226"/>
      <c r="T589" s="226"/>
      <c r="U589" s="226"/>
      <c r="V589" s="226"/>
      <c r="W589" s="226"/>
      <c r="X589" s="226"/>
    </row>
    <row r="590" spans="1:24" ht="14.25" x14ac:dyDescent="0.2">
      <c r="A590" s="226"/>
      <c r="B590" s="226"/>
      <c r="C590" s="226"/>
      <c r="D590" s="226"/>
      <c r="E590" s="226"/>
      <c r="F590" s="226"/>
      <c r="G590" s="226"/>
      <c r="H590" s="226"/>
      <c r="I590" s="226"/>
      <c r="J590" s="226"/>
      <c r="K590" s="226"/>
      <c r="L590" s="226"/>
      <c r="M590" s="226"/>
      <c r="N590" s="226"/>
      <c r="O590" s="226"/>
      <c r="P590" s="226"/>
      <c r="Q590" s="226"/>
      <c r="R590" s="226"/>
      <c r="S590" s="226"/>
      <c r="T590" s="226"/>
      <c r="U590" s="226"/>
      <c r="V590" s="226"/>
      <c r="W590" s="226"/>
      <c r="X590" s="226"/>
    </row>
    <row r="591" spans="1:24" ht="14.25" x14ac:dyDescent="0.2">
      <c r="A591" s="226"/>
      <c r="B591" s="226"/>
      <c r="C591" s="226"/>
      <c r="D591" s="226"/>
      <c r="E591" s="226"/>
      <c r="F591" s="226"/>
      <c r="G591" s="226"/>
      <c r="H591" s="226"/>
      <c r="I591" s="226"/>
      <c r="J591" s="226"/>
      <c r="K591" s="226"/>
      <c r="L591" s="226"/>
      <c r="M591" s="226"/>
      <c r="N591" s="226"/>
      <c r="O591" s="226"/>
      <c r="P591" s="226"/>
      <c r="Q591" s="226"/>
      <c r="R591" s="226"/>
      <c r="S591" s="226"/>
      <c r="T591" s="226"/>
      <c r="U591" s="226"/>
      <c r="V591" s="226"/>
      <c r="W591" s="226"/>
      <c r="X591" s="226"/>
    </row>
    <row r="592" spans="1:24" ht="14.25" x14ac:dyDescent="0.2">
      <c r="A592" s="226"/>
      <c r="B592" s="226"/>
      <c r="C592" s="226"/>
      <c r="D592" s="226"/>
      <c r="E592" s="226"/>
      <c r="F592" s="226"/>
      <c r="G592" s="226"/>
      <c r="H592" s="226"/>
      <c r="I592" s="226"/>
      <c r="J592" s="226"/>
      <c r="K592" s="226"/>
      <c r="L592" s="226"/>
      <c r="M592" s="226"/>
      <c r="N592" s="226"/>
      <c r="O592" s="226"/>
      <c r="P592" s="226"/>
      <c r="Q592" s="226"/>
      <c r="R592" s="226"/>
      <c r="S592" s="226"/>
      <c r="T592" s="226"/>
      <c r="U592" s="226"/>
      <c r="V592" s="226"/>
      <c r="W592" s="226"/>
      <c r="X592" s="226"/>
    </row>
    <row r="593" spans="1:24" ht="14.25" x14ac:dyDescent="0.2">
      <c r="A593" s="226"/>
      <c r="B593" s="226"/>
      <c r="C593" s="226"/>
      <c r="D593" s="226"/>
      <c r="E593" s="226"/>
      <c r="F593" s="226"/>
      <c r="G593" s="226"/>
      <c r="H593" s="226"/>
      <c r="I593" s="226"/>
      <c r="J593" s="226"/>
      <c r="K593" s="226"/>
      <c r="L593" s="226"/>
      <c r="M593" s="226"/>
      <c r="N593" s="226"/>
      <c r="O593" s="226"/>
      <c r="P593" s="226"/>
      <c r="Q593" s="226"/>
      <c r="R593" s="226"/>
      <c r="S593" s="226"/>
      <c r="T593" s="226"/>
      <c r="U593" s="226"/>
      <c r="V593" s="226"/>
      <c r="W593" s="226"/>
      <c r="X593" s="226"/>
    </row>
    <row r="594" spans="1:24" ht="14.25" x14ac:dyDescent="0.2">
      <c r="A594" s="226"/>
      <c r="B594" s="226"/>
      <c r="C594" s="226"/>
      <c r="D594" s="226"/>
      <c r="E594" s="226"/>
      <c r="F594" s="226"/>
      <c r="G594" s="226"/>
      <c r="H594" s="226"/>
      <c r="I594" s="226"/>
      <c r="J594" s="226"/>
      <c r="K594" s="226"/>
      <c r="L594" s="226"/>
      <c r="M594" s="226"/>
      <c r="N594" s="226"/>
      <c r="O594" s="226"/>
      <c r="P594" s="226"/>
      <c r="Q594" s="226"/>
      <c r="R594" s="226"/>
      <c r="S594" s="226"/>
      <c r="T594" s="226"/>
      <c r="U594" s="226"/>
      <c r="V594" s="226"/>
      <c r="W594" s="226"/>
      <c r="X594" s="226"/>
    </row>
    <row r="595" spans="1:24" ht="14.25" x14ac:dyDescent="0.2">
      <c r="A595" s="226"/>
      <c r="B595" s="226"/>
      <c r="C595" s="226"/>
      <c r="D595" s="226"/>
      <c r="E595" s="226"/>
      <c r="F595" s="226"/>
      <c r="G595" s="226"/>
      <c r="H595" s="226"/>
      <c r="I595" s="226"/>
      <c r="J595" s="226"/>
      <c r="K595" s="226"/>
      <c r="L595" s="226"/>
      <c r="M595" s="226"/>
      <c r="N595" s="226"/>
      <c r="O595" s="226"/>
      <c r="P595" s="226"/>
      <c r="Q595" s="226"/>
      <c r="R595" s="226"/>
      <c r="S595" s="226"/>
      <c r="T595" s="226"/>
      <c r="U595" s="226"/>
      <c r="V595" s="226"/>
      <c r="W595" s="226"/>
      <c r="X595" s="226"/>
    </row>
    <row r="596" spans="1:24" ht="14.25" x14ac:dyDescent="0.2">
      <c r="A596" s="226"/>
      <c r="B596" s="226"/>
      <c r="C596" s="226"/>
      <c r="D596" s="226"/>
      <c r="E596" s="226"/>
      <c r="F596" s="226"/>
      <c r="G596" s="226"/>
      <c r="H596" s="226"/>
      <c r="I596" s="226"/>
      <c r="J596" s="226"/>
      <c r="K596" s="226"/>
      <c r="L596" s="226"/>
      <c r="M596" s="226"/>
      <c r="N596" s="226"/>
      <c r="O596" s="226"/>
      <c r="P596" s="226"/>
      <c r="Q596" s="226"/>
      <c r="R596" s="226"/>
      <c r="S596" s="226"/>
      <c r="T596" s="226"/>
      <c r="U596" s="226"/>
      <c r="V596" s="226"/>
      <c r="W596" s="226"/>
      <c r="X596" s="226"/>
    </row>
    <row r="597" spans="1:24" ht="14.25" x14ac:dyDescent="0.2">
      <c r="A597" s="226"/>
      <c r="B597" s="226"/>
      <c r="C597" s="226"/>
      <c r="D597" s="226"/>
      <c r="E597" s="226"/>
      <c r="F597" s="226"/>
      <c r="G597" s="226"/>
      <c r="H597" s="226"/>
      <c r="I597" s="226"/>
      <c r="J597" s="226"/>
      <c r="K597" s="226"/>
      <c r="L597" s="226"/>
      <c r="M597" s="226"/>
      <c r="N597" s="226"/>
      <c r="O597" s="226"/>
      <c r="P597" s="226"/>
      <c r="Q597" s="226"/>
      <c r="R597" s="226"/>
      <c r="S597" s="226"/>
      <c r="T597" s="226"/>
      <c r="U597" s="226"/>
      <c r="V597" s="226"/>
      <c r="W597" s="226"/>
      <c r="X597" s="226"/>
    </row>
    <row r="598" spans="1:24" ht="14.25" x14ac:dyDescent="0.2">
      <c r="A598" s="226"/>
      <c r="B598" s="226"/>
      <c r="C598" s="226"/>
      <c r="D598" s="226"/>
      <c r="E598" s="226"/>
      <c r="F598" s="226"/>
      <c r="G598" s="226"/>
      <c r="H598" s="226"/>
      <c r="I598" s="226"/>
      <c r="J598" s="226"/>
      <c r="K598" s="226"/>
      <c r="L598" s="226"/>
      <c r="M598" s="226"/>
      <c r="N598" s="226"/>
      <c r="O598" s="226"/>
      <c r="P598" s="226"/>
      <c r="Q598" s="226"/>
      <c r="R598" s="226"/>
      <c r="S598" s="226"/>
      <c r="T598" s="226"/>
      <c r="U598" s="226"/>
      <c r="V598" s="226"/>
      <c r="W598" s="226"/>
      <c r="X598" s="226"/>
    </row>
    <row r="599" spans="1:24" ht="14.25" x14ac:dyDescent="0.2">
      <c r="A599" s="226"/>
      <c r="B599" s="226"/>
      <c r="C599" s="226"/>
      <c r="D599" s="226"/>
      <c r="E599" s="226"/>
      <c r="F599" s="226"/>
      <c r="G599" s="226"/>
      <c r="H599" s="226"/>
      <c r="I599" s="226"/>
      <c r="J599" s="226"/>
      <c r="K599" s="226"/>
      <c r="L599" s="226"/>
      <c r="M599" s="226"/>
      <c r="N599" s="226"/>
      <c r="O599" s="226"/>
      <c r="P599" s="226"/>
      <c r="Q599" s="226"/>
      <c r="R599" s="226"/>
      <c r="S599" s="226"/>
      <c r="T599" s="226"/>
      <c r="U599" s="226"/>
      <c r="V599" s="226"/>
      <c r="W599" s="226"/>
      <c r="X599" s="226"/>
    </row>
    <row r="600" spans="1:24" ht="14.25" x14ac:dyDescent="0.2">
      <c r="A600" s="226"/>
      <c r="B600" s="226"/>
      <c r="C600" s="226"/>
      <c r="D600" s="226"/>
      <c r="E600" s="226"/>
      <c r="F600" s="226"/>
      <c r="G600" s="226"/>
      <c r="H600" s="226"/>
      <c r="I600" s="226"/>
      <c r="J600" s="226"/>
      <c r="K600" s="226"/>
      <c r="L600" s="226"/>
      <c r="M600" s="226"/>
      <c r="N600" s="226"/>
      <c r="O600" s="226"/>
      <c r="P600" s="226"/>
      <c r="Q600" s="226"/>
      <c r="R600" s="226"/>
      <c r="S600" s="226"/>
      <c r="T600" s="226"/>
      <c r="U600" s="226"/>
      <c r="V600" s="226"/>
      <c r="W600" s="226"/>
      <c r="X600" s="226"/>
    </row>
    <row r="601" spans="1:24" ht="14.25" x14ac:dyDescent="0.2">
      <c r="A601" s="226"/>
      <c r="B601" s="226"/>
      <c r="C601" s="226"/>
      <c r="D601" s="226"/>
      <c r="E601" s="226"/>
      <c r="F601" s="226"/>
      <c r="G601" s="226"/>
      <c r="H601" s="226"/>
      <c r="I601" s="226"/>
      <c r="J601" s="226"/>
      <c r="K601" s="226"/>
      <c r="L601" s="226"/>
      <c r="M601" s="226"/>
      <c r="N601" s="226"/>
      <c r="O601" s="226"/>
      <c r="P601" s="226"/>
      <c r="Q601" s="226"/>
      <c r="R601" s="226"/>
      <c r="S601" s="226"/>
      <c r="T601" s="226"/>
      <c r="U601" s="226"/>
      <c r="V601" s="226"/>
      <c r="W601" s="226"/>
      <c r="X601" s="226"/>
    </row>
    <row r="602" spans="1:24" ht="14.25" x14ac:dyDescent="0.2">
      <c r="A602" s="226"/>
      <c r="B602" s="226"/>
      <c r="C602" s="226"/>
      <c r="D602" s="226"/>
      <c r="E602" s="226"/>
      <c r="F602" s="226"/>
      <c r="G602" s="226"/>
      <c r="H602" s="226"/>
      <c r="I602" s="226"/>
      <c r="J602" s="226"/>
      <c r="K602" s="226"/>
      <c r="L602" s="226"/>
      <c r="M602" s="226"/>
      <c r="N602" s="226"/>
      <c r="O602" s="226"/>
      <c r="P602" s="226"/>
      <c r="Q602" s="226"/>
      <c r="R602" s="226"/>
      <c r="S602" s="226"/>
      <c r="T602" s="226"/>
      <c r="U602" s="226"/>
      <c r="V602" s="226"/>
      <c r="W602" s="226"/>
      <c r="X602" s="226"/>
    </row>
    <row r="603" spans="1:24" ht="14.25" x14ac:dyDescent="0.2">
      <c r="A603" s="226"/>
      <c r="B603" s="226"/>
      <c r="C603" s="226"/>
      <c r="D603" s="226"/>
      <c r="E603" s="226"/>
      <c r="F603" s="226"/>
      <c r="G603" s="226"/>
      <c r="H603" s="226"/>
      <c r="I603" s="226"/>
      <c r="J603" s="226"/>
      <c r="K603" s="226"/>
      <c r="L603" s="226"/>
      <c r="M603" s="226"/>
      <c r="N603" s="226"/>
      <c r="O603" s="226"/>
      <c r="P603" s="226"/>
      <c r="Q603" s="226"/>
      <c r="R603" s="226"/>
      <c r="S603" s="226"/>
      <c r="T603" s="226"/>
      <c r="U603" s="226"/>
      <c r="V603" s="226"/>
      <c r="W603" s="226"/>
      <c r="X603" s="226"/>
    </row>
    <row r="604" spans="1:24" ht="14.25" x14ac:dyDescent="0.2">
      <c r="A604" s="226"/>
      <c r="B604" s="226"/>
      <c r="C604" s="226"/>
      <c r="D604" s="226"/>
      <c r="E604" s="226"/>
      <c r="F604" s="226"/>
      <c r="G604" s="226"/>
      <c r="H604" s="226"/>
      <c r="I604" s="226"/>
      <c r="J604" s="226"/>
      <c r="K604" s="226"/>
      <c r="L604" s="226"/>
      <c r="M604" s="226"/>
      <c r="N604" s="226"/>
      <c r="O604" s="226"/>
      <c r="P604" s="226"/>
      <c r="Q604" s="226"/>
      <c r="R604" s="226"/>
      <c r="S604" s="226"/>
      <c r="T604" s="226"/>
      <c r="U604" s="226"/>
      <c r="V604" s="226"/>
      <c r="W604" s="226"/>
      <c r="X604" s="226"/>
    </row>
    <row r="605" spans="1:24" ht="14.25" x14ac:dyDescent="0.2">
      <c r="A605" s="226"/>
      <c r="B605" s="226"/>
      <c r="C605" s="226"/>
      <c r="D605" s="226"/>
      <c r="E605" s="226"/>
      <c r="F605" s="226"/>
      <c r="G605" s="226"/>
      <c r="H605" s="226"/>
      <c r="I605" s="226"/>
      <c r="J605" s="226"/>
      <c r="K605" s="226"/>
      <c r="L605" s="226"/>
      <c r="M605" s="226"/>
      <c r="N605" s="226"/>
      <c r="O605" s="226"/>
      <c r="P605" s="226"/>
      <c r="Q605" s="226"/>
      <c r="R605" s="226"/>
      <c r="S605" s="226"/>
      <c r="T605" s="226"/>
      <c r="U605" s="226"/>
      <c r="V605" s="226"/>
      <c r="W605" s="226"/>
      <c r="X605" s="226"/>
    </row>
    <row r="606" spans="1:24" ht="14.25" x14ac:dyDescent="0.2">
      <c r="A606" s="226"/>
      <c r="B606" s="226"/>
      <c r="C606" s="226"/>
      <c r="D606" s="226"/>
      <c r="E606" s="226"/>
      <c r="F606" s="226"/>
      <c r="G606" s="226"/>
      <c r="H606" s="226"/>
      <c r="I606" s="226"/>
      <c r="J606" s="226"/>
      <c r="K606" s="226"/>
      <c r="L606" s="226"/>
      <c r="M606" s="226"/>
      <c r="N606" s="226"/>
      <c r="O606" s="226"/>
      <c r="P606" s="226"/>
      <c r="Q606" s="226"/>
      <c r="R606" s="226"/>
      <c r="S606" s="226"/>
      <c r="T606" s="226"/>
      <c r="U606" s="226"/>
      <c r="V606" s="226"/>
      <c r="W606" s="226"/>
      <c r="X606" s="226"/>
    </row>
    <row r="607" spans="1:24" ht="14.25" x14ac:dyDescent="0.2">
      <c r="A607" s="226"/>
      <c r="B607" s="226"/>
      <c r="C607" s="226"/>
      <c r="D607" s="226"/>
      <c r="E607" s="226"/>
      <c r="F607" s="226"/>
      <c r="G607" s="226"/>
      <c r="H607" s="226"/>
      <c r="I607" s="226"/>
      <c r="J607" s="226"/>
      <c r="K607" s="226"/>
      <c r="L607" s="226"/>
      <c r="M607" s="226"/>
      <c r="N607" s="226"/>
      <c r="O607" s="226"/>
      <c r="P607" s="226"/>
      <c r="Q607" s="226"/>
      <c r="R607" s="226"/>
      <c r="S607" s="226"/>
      <c r="T607" s="226"/>
      <c r="U607" s="226"/>
      <c r="V607" s="226"/>
      <c r="W607" s="226"/>
      <c r="X607" s="226"/>
    </row>
    <row r="608" spans="1:24" ht="14.25" x14ac:dyDescent="0.2">
      <c r="A608" s="226"/>
      <c r="B608" s="226"/>
      <c r="C608" s="226"/>
      <c r="D608" s="226"/>
      <c r="E608" s="226"/>
      <c r="F608" s="226"/>
      <c r="G608" s="226"/>
      <c r="H608" s="226"/>
      <c r="I608" s="226"/>
      <c r="J608" s="226"/>
      <c r="K608" s="226"/>
      <c r="L608" s="226"/>
      <c r="M608" s="226"/>
      <c r="N608" s="226"/>
      <c r="O608" s="226"/>
      <c r="P608" s="226"/>
      <c r="Q608" s="226"/>
      <c r="R608" s="226"/>
      <c r="S608" s="226"/>
      <c r="T608" s="226"/>
      <c r="U608" s="226"/>
      <c r="V608" s="226"/>
      <c r="W608" s="226"/>
      <c r="X608" s="226"/>
    </row>
    <row r="609" spans="1:24" ht="14.25" x14ac:dyDescent="0.2">
      <c r="A609" s="226"/>
      <c r="B609" s="226"/>
      <c r="C609" s="226"/>
      <c r="D609" s="226"/>
      <c r="E609" s="226"/>
      <c r="F609" s="226"/>
      <c r="G609" s="226"/>
      <c r="H609" s="226"/>
      <c r="I609" s="226"/>
      <c r="J609" s="226"/>
      <c r="K609" s="226"/>
      <c r="L609" s="226"/>
      <c r="M609" s="226"/>
      <c r="N609" s="226"/>
      <c r="O609" s="226"/>
      <c r="P609" s="226"/>
      <c r="Q609" s="226"/>
      <c r="R609" s="226"/>
      <c r="S609" s="226"/>
      <c r="T609" s="226"/>
      <c r="U609" s="226"/>
      <c r="V609" s="226"/>
      <c r="W609" s="226"/>
      <c r="X609" s="226"/>
    </row>
    <row r="610" spans="1:24" ht="14.25" x14ac:dyDescent="0.2">
      <c r="A610" s="226"/>
      <c r="B610" s="226"/>
      <c r="C610" s="226"/>
      <c r="D610" s="226"/>
      <c r="E610" s="226"/>
      <c r="F610" s="226"/>
      <c r="G610" s="226"/>
      <c r="H610" s="226"/>
      <c r="I610" s="226"/>
      <c r="J610" s="226"/>
      <c r="K610" s="226"/>
      <c r="L610" s="226"/>
      <c r="M610" s="226"/>
      <c r="N610" s="226"/>
      <c r="O610" s="226"/>
      <c r="P610" s="226"/>
      <c r="Q610" s="226"/>
      <c r="R610" s="226"/>
      <c r="S610" s="226"/>
      <c r="T610" s="226"/>
      <c r="U610" s="226"/>
      <c r="V610" s="226"/>
      <c r="W610" s="226"/>
      <c r="X610" s="226"/>
    </row>
    <row r="611" spans="1:24" ht="14.25" x14ac:dyDescent="0.2">
      <c r="A611" s="226"/>
      <c r="B611" s="226"/>
      <c r="C611" s="226"/>
      <c r="D611" s="226"/>
      <c r="E611" s="226"/>
      <c r="F611" s="226"/>
      <c r="G611" s="226"/>
      <c r="H611" s="226"/>
      <c r="I611" s="226"/>
      <c r="J611" s="226"/>
      <c r="K611" s="226"/>
      <c r="L611" s="226"/>
      <c r="M611" s="226"/>
      <c r="N611" s="226"/>
      <c r="O611" s="226"/>
      <c r="P611" s="226"/>
      <c r="Q611" s="226"/>
      <c r="R611" s="226"/>
      <c r="S611" s="226"/>
      <c r="T611" s="226"/>
      <c r="U611" s="226"/>
      <c r="V611" s="226"/>
      <c r="W611" s="226"/>
      <c r="X611" s="226"/>
    </row>
    <row r="612" spans="1:24" ht="14.25" x14ac:dyDescent="0.2">
      <c r="A612" s="226"/>
      <c r="B612" s="226"/>
      <c r="C612" s="226"/>
      <c r="D612" s="226"/>
      <c r="E612" s="226"/>
      <c r="F612" s="226"/>
      <c r="G612" s="226"/>
      <c r="H612" s="226"/>
      <c r="I612" s="226"/>
      <c r="J612" s="226"/>
      <c r="K612" s="226"/>
      <c r="L612" s="226"/>
      <c r="M612" s="226"/>
      <c r="N612" s="226"/>
      <c r="O612" s="226"/>
      <c r="P612" s="226"/>
      <c r="Q612" s="226"/>
      <c r="R612" s="226"/>
      <c r="S612" s="226"/>
      <c r="T612" s="226"/>
      <c r="U612" s="226"/>
      <c r="V612" s="226"/>
      <c r="W612" s="226"/>
      <c r="X612" s="226"/>
    </row>
    <row r="613" spans="1:24" ht="14.25" x14ac:dyDescent="0.2">
      <c r="A613" s="226"/>
      <c r="B613" s="226"/>
      <c r="C613" s="226"/>
      <c r="D613" s="226"/>
      <c r="E613" s="226"/>
      <c r="F613" s="226"/>
      <c r="G613" s="226"/>
      <c r="H613" s="226"/>
      <c r="I613" s="226"/>
      <c r="J613" s="226"/>
      <c r="K613" s="226"/>
      <c r="L613" s="226"/>
      <c r="M613" s="226"/>
      <c r="N613" s="226"/>
      <c r="O613" s="226"/>
      <c r="P613" s="226"/>
      <c r="Q613" s="226"/>
      <c r="R613" s="226"/>
      <c r="S613" s="226"/>
      <c r="T613" s="226"/>
      <c r="U613" s="226"/>
      <c r="V613" s="226"/>
      <c r="W613" s="226"/>
      <c r="X613" s="226"/>
    </row>
    <row r="614" spans="1:24" ht="14.25" x14ac:dyDescent="0.2">
      <c r="A614" s="226"/>
      <c r="B614" s="226"/>
      <c r="C614" s="226"/>
      <c r="D614" s="226"/>
      <c r="E614" s="226"/>
      <c r="F614" s="226"/>
      <c r="G614" s="226"/>
      <c r="H614" s="226"/>
      <c r="I614" s="226"/>
      <c r="J614" s="226"/>
      <c r="K614" s="226"/>
      <c r="L614" s="226"/>
      <c r="M614" s="226"/>
      <c r="N614" s="226"/>
      <c r="O614" s="226"/>
      <c r="P614" s="226"/>
      <c r="Q614" s="226"/>
      <c r="R614" s="226"/>
      <c r="S614" s="226"/>
      <c r="T614" s="226"/>
      <c r="U614" s="226"/>
      <c r="V614" s="226"/>
      <c r="W614" s="226"/>
      <c r="X614" s="226"/>
    </row>
    <row r="615" spans="1:24" ht="14.25" x14ac:dyDescent="0.2">
      <c r="A615" s="226"/>
      <c r="B615" s="226"/>
      <c r="C615" s="226"/>
      <c r="D615" s="226"/>
      <c r="E615" s="226"/>
      <c r="F615" s="226"/>
      <c r="G615" s="226"/>
      <c r="H615" s="226"/>
      <c r="I615" s="226"/>
      <c r="J615" s="226"/>
      <c r="K615" s="226"/>
      <c r="L615" s="226"/>
      <c r="M615" s="226"/>
      <c r="N615" s="226"/>
      <c r="O615" s="226"/>
      <c r="P615" s="226"/>
      <c r="Q615" s="226"/>
      <c r="R615" s="226"/>
      <c r="S615" s="226"/>
      <c r="T615" s="226"/>
      <c r="U615" s="226"/>
      <c r="V615" s="226"/>
      <c r="W615" s="226"/>
      <c r="X615" s="226"/>
    </row>
    <row r="616" spans="1:24" ht="14.25" x14ac:dyDescent="0.2">
      <c r="A616" s="226"/>
      <c r="B616" s="226"/>
      <c r="C616" s="226"/>
      <c r="D616" s="226"/>
      <c r="E616" s="226"/>
      <c r="F616" s="226"/>
      <c r="G616" s="226"/>
      <c r="H616" s="226"/>
      <c r="I616" s="226"/>
      <c r="J616" s="226"/>
      <c r="K616" s="226"/>
      <c r="L616" s="226"/>
      <c r="M616" s="226"/>
      <c r="N616" s="226"/>
      <c r="O616" s="226"/>
      <c r="P616" s="226"/>
      <c r="Q616" s="226"/>
      <c r="R616" s="226"/>
      <c r="S616" s="226"/>
      <c r="T616" s="226"/>
      <c r="U616" s="226"/>
      <c r="V616" s="226"/>
      <c r="W616" s="226"/>
      <c r="X616" s="226"/>
    </row>
    <row r="617" spans="1:24" ht="14.25" x14ac:dyDescent="0.2">
      <c r="A617" s="226"/>
      <c r="B617" s="226"/>
      <c r="C617" s="226"/>
      <c r="D617" s="226"/>
      <c r="E617" s="226"/>
      <c r="F617" s="226"/>
      <c r="G617" s="226"/>
      <c r="H617" s="226"/>
      <c r="I617" s="226"/>
      <c r="J617" s="226"/>
      <c r="K617" s="226"/>
      <c r="L617" s="226"/>
      <c r="M617" s="226"/>
      <c r="N617" s="226"/>
      <c r="O617" s="226"/>
      <c r="P617" s="226"/>
      <c r="Q617" s="226"/>
      <c r="R617" s="226"/>
      <c r="S617" s="226"/>
      <c r="T617" s="226"/>
      <c r="U617" s="226"/>
      <c r="V617" s="226"/>
      <c r="W617" s="226"/>
      <c r="X617" s="226"/>
    </row>
    <row r="618" spans="1:24" ht="14.25" x14ac:dyDescent="0.2">
      <c r="A618" s="226"/>
      <c r="B618" s="226"/>
      <c r="C618" s="226"/>
      <c r="D618" s="226"/>
      <c r="E618" s="226"/>
      <c r="F618" s="226"/>
      <c r="G618" s="226"/>
      <c r="H618" s="226"/>
      <c r="I618" s="226"/>
      <c r="J618" s="226"/>
      <c r="K618" s="226"/>
      <c r="L618" s="226"/>
      <c r="M618" s="226"/>
      <c r="N618" s="226"/>
      <c r="O618" s="226"/>
      <c r="P618" s="226"/>
      <c r="Q618" s="226"/>
      <c r="R618" s="226"/>
      <c r="S618" s="226"/>
      <c r="T618" s="226"/>
      <c r="U618" s="226"/>
      <c r="V618" s="226"/>
      <c r="W618" s="226"/>
      <c r="X618" s="226"/>
    </row>
    <row r="619" spans="1:24" ht="14.25" x14ac:dyDescent="0.2">
      <c r="A619" s="226"/>
      <c r="B619" s="226"/>
      <c r="C619" s="226"/>
      <c r="D619" s="226"/>
      <c r="E619" s="226"/>
      <c r="F619" s="226"/>
      <c r="G619" s="226"/>
      <c r="H619" s="226"/>
      <c r="I619" s="226"/>
      <c r="J619" s="226"/>
      <c r="K619" s="226"/>
      <c r="L619" s="226"/>
      <c r="M619" s="226"/>
      <c r="N619" s="226"/>
      <c r="O619" s="226"/>
      <c r="P619" s="226"/>
      <c r="Q619" s="226"/>
      <c r="R619" s="226"/>
      <c r="S619" s="226"/>
      <c r="T619" s="226"/>
      <c r="U619" s="226"/>
      <c r="V619" s="226"/>
      <c r="W619" s="226"/>
      <c r="X619" s="226"/>
    </row>
    <row r="620" spans="1:24" ht="14.25" x14ac:dyDescent="0.2">
      <c r="A620" s="226"/>
      <c r="B620" s="226"/>
      <c r="C620" s="226"/>
      <c r="D620" s="226"/>
      <c r="E620" s="226"/>
      <c r="F620" s="226"/>
      <c r="G620" s="226"/>
      <c r="H620" s="226"/>
      <c r="I620" s="226"/>
      <c r="J620" s="226"/>
      <c r="K620" s="226"/>
      <c r="L620" s="226"/>
      <c r="M620" s="226"/>
      <c r="N620" s="226"/>
      <c r="O620" s="226"/>
      <c r="P620" s="226"/>
      <c r="Q620" s="226"/>
      <c r="R620" s="226"/>
      <c r="S620" s="226"/>
      <c r="T620" s="226"/>
      <c r="U620" s="226"/>
      <c r="V620" s="226"/>
      <c r="W620" s="226"/>
      <c r="X620" s="226"/>
    </row>
    <row r="621" spans="1:24" ht="14.25" x14ac:dyDescent="0.2">
      <c r="A621" s="226"/>
      <c r="B621" s="226"/>
      <c r="C621" s="226"/>
      <c r="D621" s="226"/>
      <c r="E621" s="226"/>
      <c r="F621" s="226"/>
      <c r="G621" s="226"/>
      <c r="H621" s="226"/>
      <c r="I621" s="226"/>
      <c r="J621" s="226"/>
      <c r="K621" s="226"/>
      <c r="L621" s="226"/>
      <c r="M621" s="226"/>
      <c r="N621" s="226"/>
      <c r="O621" s="226"/>
      <c r="P621" s="226"/>
      <c r="Q621" s="226"/>
      <c r="R621" s="226"/>
      <c r="S621" s="226"/>
      <c r="T621" s="226"/>
      <c r="U621" s="226"/>
      <c r="V621" s="226"/>
      <c r="W621" s="226"/>
      <c r="X621" s="226"/>
    </row>
    <row r="622" spans="1:24" ht="14.25" x14ac:dyDescent="0.2">
      <c r="A622" s="226"/>
      <c r="B622" s="226"/>
      <c r="C622" s="226"/>
      <c r="D622" s="226"/>
      <c r="E622" s="226"/>
      <c r="F622" s="226"/>
      <c r="G622" s="226"/>
      <c r="H622" s="226"/>
      <c r="I622" s="226"/>
      <c r="J622" s="226"/>
      <c r="K622" s="226"/>
      <c r="L622" s="226"/>
      <c r="M622" s="226"/>
      <c r="N622" s="226"/>
      <c r="O622" s="226"/>
      <c r="P622" s="226"/>
      <c r="Q622" s="226"/>
      <c r="R622" s="226"/>
      <c r="S622" s="226"/>
      <c r="T622" s="226"/>
      <c r="U622" s="226"/>
      <c r="V622" s="226"/>
      <c r="W622" s="226"/>
      <c r="X622" s="226"/>
    </row>
    <row r="623" spans="1:24" ht="14.25" x14ac:dyDescent="0.2">
      <c r="A623" s="226"/>
      <c r="B623" s="226"/>
      <c r="C623" s="226"/>
      <c r="D623" s="226"/>
      <c r="E623" s="226"/>
      <c r="F623" s="226"/>
      <c r="G623" s="226"/>
      <c r="H623" s="226"/>
      <c r="I623" s="226"/>
      <c r="J623" s="226"/>
      <c r="K623" s="226"/>
      <c r="L623" s="226"/>
      <c r="M623" s="226"/>
      <c r="N623" s="226"/>
      <c r="O623" s="226"/>
      <c r="P623" s="226"/>
      <c r="Q623" s="226"/>
      <c r="R623" s="226"/>
      <c r="S623" s="226"/>
      <c r="T623" s="226"/>
      <c r="U623" s="226"/>
      <c r="V623" s="226"/>
      <c r="W623" s="226"/>
      <c r="X623" s="226"/>
    </row>
    <row r="624" spans="1:24" ht="14.25" x14ac:dyDescent="0.2">
      <c r="A624" s="226"/>
      <c r="B624" s="226"/>
      <c r="C624" s="226"/>
      <c r="D624" s="226"/>
      <c r="E624" s="226"/>
      <c r="F624" s="226"/>
      <c r="G624" s="226"/>
      <c r="H624" s="226"/>
      <c r="I624" s="226"/>
      <c r="J624" s="226"/>
      <c r="K624" s="226"/>
      <c r="L624" s="226"/>
      <c r="M624" s="226"/>
      <c r="N624" s="226"/>
      <c r="O624" s="226"/>
      <c r="P624" s="226"/>
      <c r="Q624" s="226"/>
      <c r="R624" s="226"/>
      <c r="S624" s="226"/>
      <c r="T624" s="226"/>
      <c r="U624" s="226"/>
      <c r="V624" s="226"/>
      <c r="W624" s="226"/>
      <c r="X624" s="226"/>
    </row>
    <row r="625" spans="1:24" ht="14.25" x14ac:dyDescent="0.2">
      <c r="A625" s="226"/>
      <c r="B625" s="226"/>
      <c r="C625" s="226"/>
      <c r="D625" s="226"/>
      <c r="E625" s="226"/>
      <c r="F625" s="226"/>
      <c r="G625" s="226"/>
      <c r="H625" s="226"/>
      <c r="I625" s="226"/>
      <c r="J625" s="226"/>
      <c r="K625" s="226"/>
      <c r="L625" s="226"/>
      <c r="M625" s="226"/>
      <c r="N625" s="226"/>
      <c r="O625" s="226"/>
      <c r="P625" s="226"/>
      <c r="Q625" s="226"/>
      <c r="R625" s="226"/>
      <c r="S625" s="226"/>
      <c r="T625" s="226"/>
      <c r="U625" s="226"/>
      <c r="V625" s="226"/>
      <c r="W625" s="226"/>
      <c r="X625" s="226"/>
    </row>
    <row r="626" spans="1:24" ht="14.25" x14ac:dyDescent="0.2">
      <c r="A626" s="226"/>
      <c r="B626" s="226"/>
      <c r="C626" s="226"/>
      <c r="D626" s="226"/>
      <c r="E626" s="226"/>
      <c r="F626" s="226"/>
      <c r="G626" s="226"/>
      <c r="H626" s="226"/>
      <c r="I626" s="226"/>
      <c r="J626" s="226"/>
      <c r="K626" s="226"/>
      <c r="L626" s="226"/>
      <c r="M626" s="226"/>
      <c r="N626" s="226"/>
      <c r="O626" s="226"/>
      <c r="P626" s="226"/>
      <c r="Q626" s="226"/>
      <c r="R626" s="226"/>
      <c r="S626" s="226"/>
      <c r="T626" s="226"/>
      <c r="U626" s="226"/>
      <c r="V626" s="226"/>
      <c r="W626" s="226"/>
      <c r="X626" s="226"/>
    </row>
    <row r="627" spans="1:24" ht="14.25" x14ac:dyDescent="0.2">
      <c r="A627" s="226"/>
      <c r="B627" s="226"/>
      <c r="C627" s="226"/>
      <c r="D627" s="226"/>
      <c r="E627" s="226"/>
      <c r="F627" s="226"/>
      <c r="G627" s="226"/>
      <c r="H627" s="226"/>
      <c r="I627" s="226"/>
      <c r="J627" s="226"/>
      <c r="K627" s="226"/>
      <c r="L627" s="226"/>
      <c r="M627" s="226"/>
      <c r="N627" s="226"/>
      <c r="O627" s="226"/>
      <c r="P627" s="226"/>
      <c r="Q627" s="226"/>
      <c r="R627" s="226"/>
      <c r="S627" s="226"/>
      <c r="T627" s="226"/>
      <c r="U627" s="226"/>
      <c r="V627" s="226"/>
      <c r="W627" s="226"/>
      <c r="X627" s="226"/>
    </row>
    <row r="628" spans="1:24" ht="14.25" x14ac:dyDescent="0.2">
      <c r="A628" s="226"/>
      <c r="B628" s="226"/>
      <c r="C628" s="226"/>
      <c r="D628" s="226"/>
      <c r="E628" s="226"/>
      <c r="F628" s="226"/>
      <c r="G628" s="226"/>
      <c r="H628" s="226"/>
      <c r="I628" s="226"/>
      <c r="J628" s="226"/>
      <c r="K628" s="226"/>
      <c r="L628" s="226"/>
      <c r="M628" s="226"/>
      <c r="N628" s="226"/>
      <c r="O628" s="226"/>
      <c r="P628" s="226"/>
      <c r="Q628" s="226"/>
      <c r="R628" s="226"/>
      <c r="S628" s="226"/>
      <c r="T628" s="226"/>
      <c r="U628" s="226"/>
      <c r="V628" s="226"/>
      <c r="W628" s="226"/>
      <c r="X628" s="226"/>
    </row>
    <row r="629" spans="1:24" ht="14.25" x14ac:dyDescent="0.2">
      <c r="A629" s="226"/>
      <c r="B629" s="226"/>
      <c r="C629" s="226"/>
      <c r="D629" s="226"/>
      <c r="E629" s="226"/>
      <c r="F629" s="226"/>
      <c r="G629" s="226"/>
      <c r="H629" s="226"/>
      <c r="I629" s="226"/>
      <c r="J629" s="226"/>
      <c r="K629" s="226"/>
      <c r="L629" s="226"/>
      <c r="M629" s="226"/>
      <c r="N629" s="226"/>
      <c r="O629" s="226"/>
      <c r="P629" s="226"/>
      <c r="Q629" s="226"/>
      <c r="R629" s="226"/>
      <c r="S629" s="226"/>
      <c r="T629" s="226"/>
      <c r="U629" s="226"/>
      <c r="V629" s="226"/>
      <c r="W629" s="226"/>
      <c r="X629" s="226"/>
    </row>
    <row r="630" spans="1:24" ht="14.25" x14ac:dyDescent="0.2">
      <c r="A630" s="226"/>
      <c r="B630" s="226"/>
      <c r="C630" s="226"/>
      <c r="D630" s="226"/>
      <c r="E630" s="226"/>
      <c r="F630" s="226"/>
      <c r="G630" s="226"/>
      <c r="H630" s="226"/>
      <c r="I630" s="226"/>
      <c r="J630" s="226"/>
      <c r="K630" s="226"/>
      <c r="L630" s="226"/>
      <c r="M630" s="226"/>
      <c r="N630" s="226"/>
      <c r="O630" s="226"/>
      <c r="P630" s="226"/>
      <c r="Q630" s="226"/>
      <c r="R630" s="226"/>
      <c r="S630" s="226"/>
      <c r="T630" s="226"/>
      <c r="U630" s="226"/>
      <c r="V630" s="226"/>
      <c r="W630" s="226"/>
      <c r="X630" s="226"/>
    </row>
    <row r="631" spans="1:24" ht="14.25" x14ac:dyDescent="0.2">
      <c r="A631" s="226"/>
      <c r="B631" s="226"/>
      <c r="C631" s="226"/>
      <c r="D631" s="226"/>
      <c r="E631" s="226"/>
      <c r="F631" s="226"/>
      <c r="G631" s="226"/>
      <c r="H631" s="226"/>
      <c r="I631" s="226"/>
      <c r="J631" s="226"/>
      <c r="K631" s="226"/>
      <c r="L631" s="226"/>
      <c r="M631" s="226"/>
      <c r="N631" s="226"/>
      <c r="O631" s="226"/>
      <c r="P631" s="226"/>
      <c r="Q631" s="226"/>
      <c r="R631" s="226"/>
      <c r="S631" s="226"/>
      <c r="T631" s="226"/>
      <c r="U631" s="226"/>
      <c r="V631" s="226"/>
      <c r="W631" s="226"/>
      <c r="X631" s="226"/>
    </row>
    <row r="632" spans="1:24" ht="14.25" x14ac:dyDescent="0.2">
      <c r="A632" s="226"/>
      <c r="B632" s="226"/>
      <c r="C632" s="226"/>
      <c r="D632" s="226"/>
      <c r="E632" s="226"/>
      <c r="F632" s="226"/>
      <c r="G632" s="226"/>
      <c r="H632" s="226"/>
      <c r="I632" s="226"/>
      <c r="J632" s="226"/>
      <c r="K632" s="226"/>
      <c r="L632" s="226"/>
      <c r="M632" s="226"/>
      <c r="N632" s="226"/>
      <c r="O632" s="226"/>
      <c r="P632" s="226"/>
      <c r="Q632" s="226"/>
      <c r="R632" s="226"/>
      <c r="S632" s="226"/>
      <c r="T632" s="226"/>
      <c r="U632" s="226"/>
      <c r="V632" s="226"/>
      <c r="W632" s="226"/>
      <c r="X632" s="226"/>
    </row>
    <row r="633" spans="1:24" ht="14.25" x14ac:dyDescent="0.2">
      <c r="A633" s="226"/>
      <c r="B633" s="226"/>
      <c r="C633" s="226"/>
      <c r="D633" s="226"/>
      <c r="E633" s="226"/>
      <c r="F633" s="226"/>
      <c r="G633" s="226"/>
      <c r="H633" s="226"/>
      <c r="I633" s="226"/>
      <c r="J633" s="226"/>
      <c r="K633" s="226"/>
      <c r="L633" s="226"/>
      <c r="M633" s="226"/>
      <c r="N633" s="226"/>
      <c r="O633" s="226"/>
      <c r="P633" s="226"/>
      <c r="Q633" s="226"/>
      <c r="R633" s="226"/>
      <c r="S633" s="226"/>
      <c r="T633" s="226"/>
      <c r="U633" s="226"/>
      <c r="V633" s="226"/>
      <c r="W633" s="226"/>
      <c r="X633" s="226"/>
    </row>
    <row r="634" spans="1:24" ht="14.25" x14ac:dyDescent="0.2">
      <c r="A634" s="226"/>
      <c r="B634" s="226"/>
      <c r="C634" s="226"/>
      <c r="D634" s="226"/>
      <c r="E634" s="226"/>
      <c r="F634" s="226"/>
      <c r="G634" s="226"/>
      <c r="H634" s="226"/>
      <c r="I634" s="226"/>
      <c r="J634" s="226"/>
      <c r="K634" s="226"/>
      <c r="L634" s="226"/>
      <c r="M634" s="226"/>
      <c r="N634" s="226"/>
      <c r="O634" s="226"/>
      <c r="P634" s="226"/>
      <c r="Q634" s="226"/>
      <c r="R634" s="226"/>
      <c r="S634" s="226"/>
      <c r="T634" s="226"/>
      <c r="U634" s="226"/>
      <c r="V634" s="226"/>
      <c r="W634" s="226"/>
      <c r="X634" s="226"/>
    </row>
    <row r="635" spans="1:24" ht="14.25" x14ac:dyDescent="0.2">
      <c r="A635" s="226"/>
      <c r="B635" s="226"/>
      <c r="C635" s="226"/>
      <c r="D635" s="226"/>
      <c r="E635" s="226"/>
      <c r="F635" s="226"/>
      <c r="G635" s="226"/>
      <c r="H635" s="226"/>
      <c r="I635" s="226"/>
      <c r="J635" s="226"/>
      <c r="K635" s="226"/>
      <c r="L635" s="226"/>
      <c r="M635" s="226"/>
      <c r="N635" s="226"/>
      <c r="O635" s="226"/>
      <c r="P635" s="226"/>
      <c r="Q635" s="226"/>
      <c r="R635" s="226"/>
      <c r="S635" s="226"/>
      <c r="T635" s="226"/>
      <c r="U635" s="226"/>
      <c r="V635" s="226"/>
      <c r="W635" s="226"/>
      <c r="X635" s="226"/>
    </row>
    <row r="636" spans="1:24" ht="14.25" x14ac:dyDescent="0.2">
      <c r="A636" s="226"/>
      <c r="B636" s="226"/>
      <c r="C636" s="226"/>
      <c r="D636" s="226"/>
      <c r="E636" s="226"/>
      <c r="F636" s="226"/>
      <c r="G636" s="226"/>
      <c r="H636" s="226"/>
      <c r="I636" s="226"/>
      <c r="J636" s="226"/>
      <c r="K636" s="226"/>
      <c r="L636" s="226"/>
      <c r="M636" s="226"/>
      <c r="N636" s="226"/>
      <c r="O636" s="226"/>
      <c r="P636" s="226"/>
      <c r="Q636" s="226"/>
      <c r="R636" s="226"/>
      <c r="S636" s="226"/>
      <c r="T636" s="226"/>
      <c r="U636" s="226"/>
      <c r="V636" s="226"/>
      <c r="W636" s="226"/>
      <c r="X636" s="226"/>
    </row>
    <row r="637" spans="1:24" ht="14.25" x14ac:dyDescent="0.2">
      <c r="A637" s="226"/>
      <c r="B637" s="226"/>
      <c r="C637" s="226"/>
      <c r="D637" s="226"/>
      <c r="E637" s="226"/>
      <c r="F637" s="226"/>
      <c r="G637" s="226"/>
      <c r="H637" s="226"/>
      <c r="I637" s="226"/>
      <c r="J637" s="226"/>
      <c r="K637" s="226"/>
      <c r="L637" s="226"/>
      <c r="M637" s="226"/>
      <c r="N637" s="226"/>
      <c r="O637" s="226"/>
      <c r="P637" s="226"/>
      <c r="Q637" s="226"/>
      <c r="R637" s="226"/>
      <c r="S637" s="226"/>
      <c r="T637" s="226"/>
      <c r="U637" s="226"/>
      <c r="V637" s="226"/>
      <c r="W637" s="226"/>
      <c r="X637" s="226"/>
    </row>
    <row r="638" spans="1:24" ht="14.25" x14ac:dyDescent="0.2">
      <c r="A638" s="226"/>
      <c r="B638" s="226"/>
      <c r="C638" s="226"/>
      <c r="D638" s="226"/>
      <c r="E638" s="226"/>
      <c r="F638" s="226"/>
      <c r="G638" s="226"/>
      <c r="H638" s="226"/>
      <c r="I638" s="226"/>
      <c r="J638" s="226"/>
      <c r="K638" s="226"/>
      <c r="L638" s="226"/>
      <c r="M638" s="226"/>
      <c r="N638" s="226"/>
      <c r="O638" s="226"/>
      <c r="P638" s="226"/>
      <c r="Q638" s="226"/>
      <c r="R638" s="226"/>
      <c r="S638" s="226"/>
      <c r="T638" s="226"/>
      <c r="U638" s="226"/>
      <c r="V638" s="226"/>
      <c r="W638" s="226"/>
      <c r="X638" s="226"/>
    </row>
    <row r="639" spans="1:24" ht="14.25" x14ac:dyDescent="0.2">
      <c r="A639" s="226"/>
      <c r="B639" s="226"/>
      <c r="C639" s="226"/>
      <c r="D639" s="226"/>
      <c r="E639" s="226"/>
      <c r="F639" s="226"/>
      <c r="G639" s="226"/>
      <c r="H639" s="226"/>
      <c r="I639" s="226"/>
      <c r="J639" s="226"/>
      <c r="K639" s="226"/>
      <c r="L639" s="226"/>
      <c r="M639" s="226"/>
      <c r="N639" s="226"/>
      <c r="O639" s="226"/>
      <c r="P639" s="226"/>
      <c r="Q639" s="226"/>
      <c r="R639" s="226"/>
      <c r="S639" s="226"/>
      <c r="T639" s="226"/>
      <c r="U639" s="226"/>
      <c r="V639" s="226"/>
      <c r="W639" s="226"/>
      <c r="X639" s="226"/>
    </row>
    <row r="640" spans="1:24" ht="14.25" x14ac:dyDescent="0.2">
      <c r="A640" s="226"/>
      <c r="B640" s="226"/>
      <c r="C640" s="226"/>
      <c r="D640" s="226"/>
      <c r="E640" s="226"/>
      <c r="F640" s="226"/>
      <c r="G640" s="226"/>
      <c r="H640" s="226"/>
      <c r="I640" s="226"/>
      <c r="J640" s="226"/>
      <c r="K640" s="226"/>
      <c r="L640" s="226"/>
      <c r="M640" s="226"/>
      <c r="N640" s="226"/>
      <c r="O640" s="226"/>
      <c r="P640" s="226"/>
      <c r="Q640" s="226"/>
      <c r="R640" s="226"/>
      <c r="S640" s="226"/>
      <c r="T640" s="226"/>
      <c r="U640" s="226"/>
      <c r="V640" s="226"/>
      <c r="W640" s="226"/>
      <c r="X640" s="226"/>
    </row>
    <row r="641" spans="1:24" ht="14.25" x14ac:dyDescent="0.2">
      <c r="A641" s="226"/>
      <c r="B641" s="226"/>
      <c r="C641" s="226"/>
      <c r="D641" s="226"/>
      <c r="E641" s="226"/>
      <c r="F641" s="226"/>
      <c r="G641" s="226"/>
      <c r="H641" s="226"/>
      <c r="I641" s="226"/>
      <c r="J641" s="226"/>
      <c r="K641" s="226"/>
      <c r="L641" s="226"/>
      <c r="M641" s="226"/>
      <c r="N641" s="226"/>
      <c r="O641" s="226"/>
      <c r="P641" s="226"/>
      <c r="Q641" s="226"/>
      <c r="R641" s="226"/>
      <c r="S641" s="226"/>
      <c r="T641" s="226"/>
      <c r="U641" s="226"/>
      <c r="V641" s="226"/>
      <c r="W641" s="226"/>
      <c r="X641" s="226"/>
    </row>
    <row r="642" spans="1:24" ht="14.25" x14ac:dyDescent="0.2">
      <c r="A642" s="226"/>
      <c r="B642" s="226"/>
      <c r="C642" s="226"/>
      <c r="D642" s="226"/>
      <c r="E642" s="226"/>
      <c r="F642" s="226"/>
      <c r="G642" s="226"/>
      <c r="H642" s="226"/>
      <c r="I642" s="226"/>
      <c r="J642" s="226"/>
      <c r="K642" s="226"/>
      <c r="L642" s="226"/>
      <c r="M642" s="226"/>
      <c r="N642" s="226"/>
      <c r="O642" s="226"/>
      <c r="P642" s="226"/>
      <c r="Q642" s="226"/>
      <c r="R642" s="226"/>
      <c r="S642" s="226"/>
      <c r="T642" s="226"/>
      <c r="U642" s="226"/>
      <c r="V642" s="226"/>
      <c r="W642" s="226"/>
      <c r="X642" s="226"/>
    </row>
    <row r="643" spans="1:24" ht="14.25" x14ac:dyDescent="0.2">
      <c r="A643" s="226"/>
      <c r="B643" s="226"/>
      <c r="C643" s="226"/>
      <c r="D643" s="226"/>
      <c r="E643" s="226"/>
      <c r="F643" s="226"/>
      <c r="G643" s="226"/>
      <c r="H643" s="226"/>
      <c r="I643" s="226"/>
      <c r="J643" s="226"/>
      <c r="K643" s="226"/>
      <c r="L643" s="226"/>
      <c r="M643" s="226"/>
      <c r="N643" s="226"/>
      <c r="O643" s="226"/>
      <c r="P643" s="226"/>
      <c r="Q643" s="226"/>
      <c r="R643" s="226"/>
      <c r="S643" s="226"/>
      <c r="T643" s="226"/>
      <c r="U643" s="226"/>
      <c r="V643" s="226"/>
      <c r="W643" s="226"/>
      <c r="X643" s="226"/>
    </row>
    <row r="644" spans="1:24" ht="14.25" x14ac:dyDescent="0.2">
      <c r="A644" s="226"/>
      <c r="B644" s="226"/>
      <c r="C644" s="226"/>
      <c r="D644" s="226"/>
      <c r="E644" s="226"/>
      <c r="F644" s="226"/>
      <c r="G644" s="226"/>
      <c r="H644" s="226"/>
      <c r="I644" s="226"/>
      <c r="J644" s="226"/>
      <c r="K644" s="226"/>
      <c r="L644" s="226"/>
      <c r="M644" s="226"/>
      <c r="N644" s="226"/>
      <c r="O644" s="226"/>
      <c r="P644" s="226"/>
      <c r="Q644" s="226"/>
      <c r="R644" s="226"/>
      <c r="S644" s="226"/>
      <c r="T644" s="226"/>
      <c r="U644" s="226"/>
      <c r="V644" s="226"/>
      <c r="W644" s="226"/>
      <c r="X644" s="226"/>
    </row>
    <row r="645" spans="1:24" ht="14.25" x14ac:dyDescent="0.2">
      <c r="A645" s="226"/>
      <c r="B645" s="226"/>
      <c r="C645" s="226"/>
      <c r="D645" s="226"/>
      <c r="E645" s="226"/>
      <c r="F645" s="226"/>
      <c r="G645" s="226"/>
      <c r="H645" s="226"/>
      <c r="I645" s="226"/>
      <c r="J645" s="226"/>
      <c r="K645" s="226"/>
      <c r="L645" s="226"/>
      <c r="M645" s="226"/>
      <c r="N645" s="226"/>
      <c r="O645" s="226"/>
      <c r="P645" s="226"/>
      <c r="Q645" s="226"/>
      <c r="R645" s="226"/>
      <c r="S645" s="226"/>
      <c r="T645" s="226"/>
      <c r="U645" s="226"/>
      <c r="V645" s="226"/>
      <c r="W645" s="226"/>
      <c r="X645" s="226"/>
    </row>
    <row r="646" spans="1:24" ht="14.25" x14ac:dyDescent="0.2">
      <c r="A646" s="226"/>
      <c r="B646" s="226"/>
      <c r="C646" s="226"/>
      <c r="D646" s="226"/>
      <c r="E646" s="226"/>
      <c r="F646" s="226"/>
      <c r="G646" s="226"/>
      <c r="H646" s="226"/>
      <c r="I646" s="226"/>
      <c r="J646" s="226"/>
      <c r="K646" s="226"/>
      <c r="L646" s="226"/>
      <c r="M646" s="226"/>
      <c r="N646" s="226"/>
      <c r="O646" s="226"/>
      <c r="P646" s="226"/>
      <c r="Q646" s="226"/>
      <c r="R646" s="226"/>
      <c r="S646" s="226"/>
      <c r="T646" s="226"/>
      <c r="U646" s="226"/>
      <c r="V646" s="226"/>
      <c r="W646" s="226"/>
      <c r="X646" s="226"/>
    </row>
    <row r="647" spans="1:24" ht="14.25" x14ac:dyDescent="0.2">
      <c r="A647" s="226"/>
      <c r="B647" s="226"/>
      <c r="C647" s="226"/>
      <c r="D647" s="226"/>
      <c r="E647" s="226"/>
      <c r="F647" s="226"/>
      <c r="G647" s="226"/>
      <c r="H647" s="226"/>
      <c r="I647" s="226"/>
      <c r="J647" s="226"/>
      <c r="K647" s="226"/>
      <c r="L647" s="226"/>
      <c r="M647" s="226"/>
      <c r="N647" s="226"/>
      <c r="O647" s="226"/>
      <c r="P647" s="226"/>
      <c r="Q647" s="226"/>
      <c r="R647" s="226"/>
      <c r="S647" s="226"/>
      <c r="T647" s="226"/>
      <c r="U647" s="226"/>
      <c r="V647" s="226"/>
      <c r="W647" s="226"/>
      <c r="X647" s="226"/>
    </row>
    <row r="648" spans="1:24" ht="14.25" x14ac:dyDescent="0.2">
      <c r="A648" s="226"/>
      <c r="B648" s="226"/>
      <c r="C648" s="226"/>
      <c r="D648" s="226"/>
      <c r="E648" s="226"/>
      <c r="F648" s="226"/>
      <c r="G648" s="226"/>
      <c r="H648" s="226"/>
      <c r="I648" s="226"/>
      <c r="J648" s="226"/>
      <c r="K648" s="226"/>
      <c r="L648" s="226"/>
      <c r="M648" s="226"/>
      <c r="N648" s="226"/>
      <c r="O648" s="226"/>
      <c r="P648" s="226"/>
      <c r="Q648" s="226"/>
      <c r="R648" s="226"/>
      <c r="S648" s="226"/>
      <c r="T648" s="226"/>
      <c r="U648" s="226"/>
      <c r="V648" s="226"/>
      <c r="W648" s="226"/>
      <c r="X648" s="226"/>
    </row>
    <row r="649" spans="1:24" ht="14.25" x14ac:dyDescent="0.2">
      <c r="A649" s="226"/>
      <c r="B649" s="226"/>
      <c r="C649" s="226"/>
      <c r="D649" s="226"/>
      <c r="E649" s="226"/>
      <c r="F649" s="226"/>
      <c r="G649" s="226"/>
      <c r="H649" s="226"/>
      <c r="I649" s="226"/>
      <c r="J649" s="226"/>
      <c r="K649" s="226"/>
      <c r="L649" s="226"/>
      <c r="M649" s="226"/>
      <c r="N649" s="226"/>
      <c r="O649" s="226"/>
      <c r="P649" s="226"/>
      <c r="Q649" s="226"/>
      <c r="R649" s="226"/>
      <c r="S649" s="226"/>
      <c r="T649" s="226"/>
      <c r="U649" s="226"/>
      <c r="V649" s="226"/>
      <c r="W649" s="226"/>
      <c r="X649" s="226"/>
    </row>
    <row r="650" spans="1:24" ht="14.25" x14ac:dyDescent="0.2">
      <c r="A650" s="226"/>
      <c r="B650" s="226"/>
      <c r="C650" s="226"/>
      <c r="D650" s="226"/>
      <c r="E650" s="226"/>
      <c r="F650" s="226"/>
      <c r="G650" s="226"/>
      <c r="H650" s="226"/>
      <c r="I650" s="226"/>
      <c r="J650" s="226"/>
      <c r="K650" s="226"/>
      <c r="L650" s="226"/>
      <c r="M650" s="226"/>
      <c r="N650" s="226"/>
      <c r="O650" s="226"/>
      <c r="P650" s="226"/>
      <c r="Q650" s="226"/>
      <c r="R650" s="226"/>
      <c r="S650" s="226"/>
      <c r="T650" s="226"/>
      <c r="U650" s="226"/>
      <c r="V650" s="226"/>
      <c r="W650" s="226"/>
      <c r="X650" s="226"/>
    </row>
    <row r="651" spans="1:24" ht="14.25" x14ac:dyDescent="0.2">
      <c r="A651" s="226"/>
      <c r="B651" s="226"/>
      <c r="C651" s="226"/>
      <c r="D651" s="226"/>
      <c r="E651" s="226"/>
      <c r="F651" s="226"/>
      <c r="G651" s="226"/>
      <c r="H651" s="226"/>
      <c r="I651" s="226"/>
      <c r="J651" s="226"/>
      <c r="K651" s="226"/>
      <c r="L651" s="226"/>
      <c r="M651" s="226"/>
      <c r="N651" s="226"/>
      <c r="O651" s="226"/>
      <c r="P651" s="226"/>
      <c r="Q651" s="226"/>
      <c r="R651" s="226"/>
      <c r="S651" s="226"/>
      <c r="T651" s="226"/>
      <c r="U651" s="226"/>
      <c r="V651" s="226"/>
      <c r="W651" s="226"/>
      <c r="X651" s="226"/>
    </row>
    <row r="652" spans="1:24" ht="14.25" x14ac:dyDescent="0.2">
      <c r="A652" s="226"/>
      <c r="B652" s="226"/>
      <c r="C652" s="226"/>
      <c r="D652" s="226"/>
      <c r="E652" s="226"/>
      <c r="F652" s="226"/>
      <c r="G652" s="226"/>
      <c r="H652" s="226"/>
      <c r="I652" s="226"/>
      <c r="J652" s="226"/>
      <c r="K652" s="226"/>
      <c r="L652" s="226"/>
      <c r="M652" s="226"/>
      <c r="N652" s="226"/>
      <c r="O652" s="226"/>
      <c r="P652" s="226"/>
      <c r="Q652" s="226"/>
      <c r="R652" s="226"/>
      <c r="S652" s="226"/>
      <c r="T652" s="226"/>
      <c r="U652" s="226"/>
      <c r="V652" s="226"/>
      <c r="W652" s="226"/>
      <c r="X652" s="226"/>
    </row>
    <row r="653" spans="1:24" ht="14.25" x14ac:dyDescent="0.2">
      <c r="A653" s="226"/>
      <c r="B653" s="226"/>
      <c r="C653" s="226"/>
      <c r="D653" s="226"/>
      <c r="E653" s="226"/>
      <c r="F653" s="226"/>
      <c r="G653" s="226"/>
      <c r="H653" s="226"/>
      <c r="I653" s="226"/>
      <c r="J653" s="226"/>
      <c r="K653" s="226"/>
      <c r="L653" s="226"/>
      <c r="M653" s="226"/>
      <c r="N653" s="226"/>
      <c r="O653" s="226"/>
      <c r="P653" s="226"/>
      <c r="Q653" s="226"/>
      <c r="R653" s="226"/>
      <c r="S653" s="226"/>
      <c r="T653" s="226"/>
      <c r="U653" s="226"/>
      <c r="V653" s="226"/>
      <c r="W653" s="226"/>
      <c r="X653" s="226"/>
    </row>
    <row r="654" spans="1:24" ht="14.25" x14ac:dyDescent="0.2">
      <c r="A654" s="226"/>
      <c r="B654" s="226"/>
      <c r="C654" s="226"/>
      <c r="D654" s="226"/>
      <c r="E654" s="226"/>
      <c r="F654" s="226"/>
      <c r="G654" s="226"/>
      <c r="H654" s="226"/>
      <c r="I654" s="226"/>
      <c r="J654" s="226"/>
      <c r="K654" s="226"/>
      <c r="L654" s="226"/>
      <c r="M654" s="226"/>
      <c r="N654" s="226"/>
      <c r="O654" s="226"/>
      <c r="P654" s="226"/>
      <c r="Q654" s="226"/>
      <c r="R654" s="226"/>
      <c r="S654" s="226"/>
      <c r="T654" s="226"/>
      <c r="U654" s="226"/>
      <c r="V654" s="226"/>
      <c r="W654" s="226"/>
      <c r="X654" s="226"/>
    </row>
    <row r="655" spans="1:24" ht="14.25" x14ac:dyDescent="0.2">
      <c r="A655" s="226"/>
      <c r="B655" s="226"/>
      <c r="C655" s="226"/>
      <c r="D655" s="226"/>
      <c r="E655" s="226"/>
      <c r="F655" s="226"/>
      <c r="G655" s="226"/>
      <c r="H655" s="226"/>
      <c r="I655" s="226"/>
      <c r="J655" s="226"/>
      <c r="K655" s="226"/>
      <c r="L655" s="226"/>
      <c r="M655" s="226"/>
      <c r="N655" s="226"/>
      <c r="O655" s="226"/>
      <c r="P655" s="226"/>
      <c r="Q655" s="226"/>
      <c r="R655" s="226"/>
      <c r="S655" s="226"/>
      <c r="T655" s="226"/>
      <c r="U655" s="226"/>
      <c r="V655" s="226"/>
      <c r="W655" s="226"/>
      <c r="X655" s="226"/>
    </row>
    <row r="656" spans="1:24" ht="14.25" x14ac:dyDescent="0.2">
      <c r="A656" s="226"/>
      <c r="B656" s="226"/>
      <c r="C656" s="226"/>
      <c r="D656" s="226"/>
      <c r="E656" s="226"/>
      <c r="F656" s="226"/>
      <c r="G656" s="226"/>
      <c r="H656" s="226"/>
      <c r="I656" s="226"/>
      <c r="J656" s="226"/>
      <c r="K656" s="226"/>
      <c r="L656" s="226"/>
      <c r="M656" s="226"/>
      <c r="N656" s="226"/>
      <c r="O656" s="226"/>
      <c r="P656" s="226"/>
      <c r="Q656" s="226"/>
      <c r="R656" s="226"/>
      <c r="S656" s="226"/>
      <c r="T656" s="226"/>
      <c r="U656" s="226"/>
      <c r="V656" s="226"/>
      <c r="W656" s="226"/>
      <c r="X656" s="226"/>
    </row>
    <row r="657" spans="1:24" ht="14.25" x14ac:dyDescent="0.2">
      <c r="A657" s="226"/>
      <c r="B657" s="226"/>
      <c r="C657" s="226"/>
      <c r="D657" s="226"/>
      <c r="E657" s="226"/>
      <c r="F657" s="226"/>
      <c r="G657" s="226"/>
      <c r="H657" s="226"/>
      <c r="I657" s="226"/>
      <c r="J657" s="226"/>
      <c r="K657" s="226"/>
      <c r="L657" s="226"/>
      <c r="M657" s="226"/>
      <c r="N657" s="226"/>
      <c r="O657" s="226"/>
      <c r="P657" s="226"/>
      <c r="Q657" s="226"/>
      <c r="R657" s="226"/>
      <c r="S657" s="226"/>
      <c r="T657" s="226"/>
      <c r="U657" s="226"/>
      <c r="V657" s="226"/>
      <c r="W657" s="226"/>
      <c r="X657" s="226"/>
    </row>
    <row r="658" spans="1:24" ht="14.25" x14ac:dyDescent="0.2">
      <c r="A658" s="226"/>
      <c r="B658" s="226"/>
      <c r="C658" s="226"/>
      <c r="D658" s="226"/>
      <c r="E658" s="226"/>
      <c r="F658" s="226"/>
      <c r="G658" s="226"/>
      <c r="H658" s="226"/>
      <c r="I658" s="226"/>
      <c r="J658" s="226"/>
      <c r="K658" s="226"/>
      <c r="L658" s="226"/>
      <c r="M658" s="226"/>
      <c r="N658" s="226"/>
      <c r="O658" s="226"/>
      <c r="P658" s="226"/>
      <c r="Q658" s="226"/>
      <c r="R658" s="226"/>
      <c r="S658" s="226"/>
      <c r="T658" s="226"/>
      <c r="U658" s="226"/>
      <c r="V658" s="226"/>
      <c r="W658" s="226"/>
      <c r="X658" s="226"/>
    </row>
    <row r="659" spans="1:24" ht="14.25" x14ac:dyDescent="0.2">
      <c r="A659" s="226"/>
      <c r="B659" s="226"/>
      <c r="C659" s="226"/>
      <c r="D659" s="226"/>
      <c r="E659" s="226"/>
      <c r="F659" s="226"/>
      <c r="G659" s="226"/>
      <c r="H659" s="226"/>
      <c r="I659" s="226"/>
      <c r="J659" s="226"/>
      <c r="K659" s="226"/>
      <c r="L659" s="226"/>
      <c r="M659" s="226"/>
      <c r="N659" s="226"/>
      <c r="O659" s="226"/>
      <c r="P659" s="226"/>
      <c r="Q659" s="226"/>
      <c r="R659" s="226"/>
      <c r="S659" s="226"/>
      <c r="T659" s="226"/>
      <c r="U659" s="226"/>
      <c r="V659" s="226"/>
      <c r="W659" s="226"/>
      <c r="X659" s="226"/>
    </row>
    <row r="660" spans="1:24" ht="14.25" x14ac:dyDescent="0.2">
      <c r="A660" s="226"/>
      <c r="B660" s="226"/>
      <c r="C660" s="226"/>
      <c r="D660" s="226"/>
      <c r="E660" s="226"/>
      <c r="F660" s="226"/>
      <c r="G660" s="226"/>
      <c r="H660" s="226"/>
      <c r="I660" s="226"/>
      <c r="J660" s="226"/>
      <c r="K660" s="226"/>
      <c r="L660" s="226"/>
      <c r="M660" s="226"/>
      <c r="N660" s="226"/>
      <c r="O660" s="226"/>
      <c r="P660" s="226"/>
      <c r="Q660" s="226"/>
      <c r="R660" s="226"/>
      <c r="S660" s="226"/>
      <c r="T660" s="226"/>
      <c r="U660" s="226"/>
      <c r="V660" s="226"/>
      <c r="W660" s="226"/>
      <c r="X660" s="226"/>
    </row>
    <row r="661" spans="1:24" ht="14.25" x14ac:dyDescent="0.2">
      <c r="A661" s="226"/>
      <c r="B661" s="226"/>
      <c r="C661" s="226"/>
      <c r="D661" s="226"/>
      <c r="E661" s="226"/>
      <c r="F661" s="226"/>
      <c r="G661" s="226"/>
      <c r="H661" s="226"/>
      <c r="I661" s="226"/>
      <c r="J661" s="226"/>
      <c r="K661" s="226"/>
      <c r="L661" s="226"/>
      <c r="M661" s="226"/>
      <c r="N661" s="226"/>
      <c r="O661" s="226"/>
      <c r="P661" s="226"/>
      <c r="Q661" s="226"/>
      <c r="R661" s="226"/>
      <c r="S661" s="226"/>
      <c r="T661" s="226"/>
      <c r="U661" s="226"/>
      <c r="V661" s="226"/>
      <c r="W661" s="226"/>
      <c r="X661" s="226"/>
    </row>
    <row r="662" spans="1:24" ht="14.25" x14ac:dyDescent="0.2">
      <c r="A662" s="226"/>
      <c r="B662" s="226"/>
      <c r="C662" s="226"/>
      <c r="D662" s="226"/>
      <c r="E662" s="226"/>
      <c r="F662" s="226"/>
      <c r="G662" s="226"/>
      <c r="H662" s="226"/>
      <c r="I662" s="226"/>
      <c r="J662" s="226"/>
      <c r="K662" s="226"/>
      <c r="L662" s="226"/>
      <c r="M662" s="226"/>
      <c r="N662" s="226"/>
      <c r="O662" s="226"/>
      <c r="P662" s="226"/>
      <c r="Q662" s="226"/>
      <c r="R662" s="226"/>
      <c r="S662" s="226"/>
      <c r="T662" s="226"/>
      <c r="U662" s="226"/>
      <c r="V662" s="226"/>
      <c r="W662" s="226"/>
      <c r="X662" s="226"/>
    </row>
    <row r="663" spans="1:24" ht="14.25" x14ac:dyDescent="0.2">
      <c r="A663" s="226"/>
      <c r="B663" s="226"/>
      <c r="C663" s="226"/>
      <c r="D663" s="226"/>
      <c r="E663" s="226"/>
      <c r="F663" s="226"/>
      <c r="G663" s="226"/>
      <c r="H663" s="226"/>
      <c r="I663" s="226"/>
      <c r="J663" s="226"/>
      <c r="K663" s="226"/>
      <c r="L663" s="226"/>
      <c r="M663" s="226"/>
      <c r="N663" s="226"/>
      <c r="O663" s="226"/>
      <c r="P663" s="226"/>
      <c r="Q663" s="226"/>
      <c r="R663" s="226"/>
      <c r="S663" s="226"/>
      <c r="T663" s="226"/>
      <c r="U663" s="226"/>
      <c r="V663" s="226"/>
      <c r="W663" s="226"/>
      <c r="X663" s="226"/>
    </row>
    <row r="664" spans="1:24" ht="14.25" x14ac:dyDescent="0.2">
      <c r="A664" s="226"/>
      <c r="B664" s="226"/>
      <c r="C664" s="226"/>
      <c r="D664" s="226"/>
      <c r="E664" s="226"/>
      <c r="F664" s="226"/>
      <c r="G664" s="226"/>
      <c r="H664" s="226"/>
      <c r="I664" s="226"/>
      <c r="J664" s="226"/>
      <c r="K664" s="226"/>
      <c r="L664" s="226"/>
      <c r="M664" s="226"/>
      <c r="N664" s="226"/>
      <c r="O664" s="226"/>
      <c r="P664" s="226"/>
      <c r="Q664" s="226"/>
      <c r="R664" s="226"/>
      <c r="S664" s="226"/>
      <c r="T664" s="226"/>
      <c r="U664" s="226"/>
      <c r="V664" s="226"/>
      <c r="W664" s="226"/>
      <c r="X664" s="226"/>
    </row>
    <row r="665" spans="1:24" ht="14.25" x14ac:dyDescent="0.2">
      <c r="A665" s="226"/>
      <c r="B665" s="226"/>
      <c r="C665" s="226"/>
      <c r="D665" s="226"/>
      <c r="E665" s="226"/>
      <c r="F665" s="226"/>
      <c r="G665" s="226"/>
      <c r="H665" s="226"/>
      <c r="I665" s="226"/>
      <c r="J665" s="226"/>
      <c r="K665" s="226"/>
      <c r="L665" s="226"/>
      <c r="M665" s="226"/>
      <c r="N665" s="226"/>
      <c r="O665" s="226"/>
      <c r="P665" s="226"/>
      <c r="Q665" s="226"/>
      <c r="R665" s="226"/>
      <c r="S665" s="226"/>
      <c r="T665" s="226"/>
      <c r="U665" s="226"/>
      <c r="V665" s="226"/>
      <c r="W665" s="226"/>
      <c r="X665" s="226"/>
    </row>
    <row r="666" spans="1:24" ht="14.25" x14ac:dyDescent="0.2">
      <c r="A666" s="226"/>
      <c r="B666" s="226"/>
      <c r="C666" s="226"/>
      <c r="D666" s="226"/>
      <c r="E666" s="226"/>
      <c r="F666" s="226"/>
      <c r="G666" s="226"/>
      <c r="H666" s="226"/>
      <c r="I666" s="226"/>
      <c r="J666" s="226"/>
      <c r="K666" s="226"/>
      <c r="L666" s="226"/>
      <c r="M666" s="226"/>
      <c r="N666" s="226"/>
      <c r="O666" s="226"/>
      <c r="P666" s="226"/>
      <c r="Q666" s="226"/>
      <c r="R666" s="226"/>
      <c r="S666" s="226"/>
      <c r="T666" s="226"/>
      <c r="U666" s="226"/>
      <c r="V666" s="226"/>
      <c r="W666" s="226"/>
      <c r="X666" s="226"/>
    </row>
    <row r="667" spans="1:24" ht="14.25" x14ac:dyDescent="0.2">
      <c r="A667" s="226"/>
      <c r="B667" s="226"/>
      <c r="C667" s="226"/>
      <c r="D667" s="226"/>
      <c r="E667" s="226"/>
      <c r="F667" s="226"/>
      <c r="G667" s="226"/>
      <c r="H667" s="226"/>
      <c r="I667" s="226"/>
      <c r="J667" s="226"/>
      <c r="K667" s="226"/>
      <c r="L667" s="226"/>
      <c r="M667" s="226"/>
      <c r="N667" s="226"/>
      <c r="O667" s="226"/>
      <c r="P667" s="226"/>
      <c r="Q667" s="226"/>
      <c r="R667" s="226"/>
      <c r="S667" s="226"/>
      <c r="T667" s="226"/>
      <c r="U667" s="226"/>
      <c r="V667" s="226"/>
      <c r="W667" s="226"/>
      <c r="X667" s="226"/>
    </row>
    <row r="668" spans="1:24" ht="14.25" x14ac:dyDescent="0.2">
      <c r="A668" s="226"/>
      <c r="B668" s="226"/>
      <c r="C668" s="226"/>
      <c r="D668" s="226"/>
      <c r="E668" s="226"/>
      <c r="F668" s="226"/>
      <c r="G668" s="226"/>
      <c r="H668" s="226"/>
      <c r="I668" s="226"/>
      <c r="J668" s="226"/>
      <c r="K668" s="226"/>
      <c r="L668" s="226"/>
      <c r="M668" s="226"/>
      <c r="N668" s="226"/>
      <c r="O668" s="226"/>
      <c r="P668" s="226"/>
      <c r="Q668" s="226"/>
      <c r="R668" s="226"/>
      <c r="S668" s="226"/>
      <c r="T668" s="226"/>
      <c r="U668" s="226"/>
      <c r="V668" s="226"/>
      <c r="W668" s="226"/>
      <c r="X668" s="226"/>
    </row>
    <row r="669" spans="1:24" ht="14.25" x14ac:dyDescent="0.2">
      <c r="A669" s="226"/>
      <c r="B669" s="226"/>
      <c r="C669" s="226"/>
      <c r="D669" s="226"/>
      <c r="E669" s="226"/>
      <c r="F669" s="226"/>
      <c r="G669" s="226"/>
      <c r="H669" s="226"/>
      <c r="I669" s="226"/>
      <c r="J669" s="226"/>
      <c r="K669" s="226"/>
      <c r="L669" s="226"/>
      <c r="M669" s="226"/>
      <c r="N669" s="226"/>
      <c r="O669" s="226"/>
      <c r="P669" s="226"/>
      <c r="Q669" s="226"/>
      <c r="R669" s="226"/>
      <c r="S669" s="226"/>
      <c r="T669" s="226"/>
      <c r="U669" s="226"/>
      <c r="V669" s="226"/>
      <c r="W669" s="226"/>
      <c r="X669" s="226"/>
    </row>
    <row r="670" spans="1:24" ht="14.25" x14ac:dyDescent="0.2">
      <c r="A670" s="226"/>
      <c r="B670" s="226"/>
      <c r="C670" s="226"/>
      <c r="D670" s="226"/>
      <c r="E670" s="226"/>
      <c r="F670" s="226"/>
      <c r="G670" s="226"/>
      <c r="H670" s="226"/>
      <c r="I670" s="226"/>
      <c r="J670" s="226"/>
      <c r="K670" s="226"/>
      <c r="L670" s="226"/>
      <c r="M670" s="226"/>
      <c r="N670" s="226"/>
      <c r="O670" s="226"/>
      <c r="P670" s="226"/>
      <c r="Q670" s="226"/>
      <c r="R670" s="226"/>
      <c r="S670" s="226"/>
      <c r="T670" s="226"/>
      <c r="U670" s="226"/>
      <c r="V670" s="226"/>
      <c r="W670" s="226"/>
      <c r="X670" s="226"/>
    </row>
    <row r="671" spans="1:24" ht="14.25" x14ac:dyDescent="0.2">
      <c r="A671" s="226"/>
      <c r="B671" s="226"/>
      <c r="C671" s="226"/>
      <c r="D671" s="226"/>
      <c r="E671" s="226"/>
      <c r="F671" s="226"/>
      <c r="G671" s="226"/>
      <c r="H671" s="226"/>
      <c r="I671" s="226"/>
      <c r="J671" s="226"/>
      <c r="K671" s="226"/>
      <c r="L671" s="226"/>
      <c r="M671" s="226"/>
      <c r="N671" s="226"/>
      <c r="O671" s="226"/>
      <c r="P671" s="226"/>
      <c r="Q671" s="226"/>
      <c r="R671" s="226"/>
      <c r="S671" s="226"/>
      <c r="T671" s="226"/>
      <c r="U671" s="226"/>
      <c r="V671" s="226"/>
      <c r="W671" s="226"/>
      <c r="X671" s="226"/>
    </row>
    <row r="672" spans="1:24" ht="14.25" x14ac:dyDescent="0.2">
      <c r="A672" s="226"/>
      <c r="B672" s="226"/>
      <c r="C672" s="226"/>
      <c r="D672" s="226"/>
      <c r="E672" s="226"/>
      <c r="F672" s="226"/>
      <c r="G672" s="226"/>
      <c r="H672" s="226"/>
      <c r="I672" s="226"/>
      <c r="J672" s="226"/>
      <c r="K672" s="226"/>
      <c r="L672" s="226"/>
      <c r="M672" s="226"/>
      <c r="N672" s="226"/>
      <c r="O672" s="226"/>
      <c r="P672" s="226"/>
      <c r="Q672" s="226"/>
      <c r="R672" s="226"/>
      <c r="S672" s="226"/>
      <c r="T672" s="226"/>
      <c r="U672" s="226"/>
      <c r="V672" s="226"/>
      <c r="W672" s="226"/>
      <c r="X672" s="226"/>
    </row>
    <row r="673" spans="1:24" ht="14.25" x14ac:dyDescent="0.2">
      <c r="A673" s="226"/>
      <c r="B673" s="226"/>
      <c r="C673" s="226"/>
      <c r="D673" s="226"/>
      <c r="E673" s="226"/>
      <c r="F673" s="226"/>
      <c r="G673" s="226"/>
      <c r="H673" s="226"/>
      <c r="I673" s="226"/>
      <c r="J673" s="226"/>
      <c r="K673" s="226"/>
      <c r="L673" s="226"/>
      <c r="M673" s="226"/>
      <c r="N673" s="226"/>
      <c r="O673" s="226"/>
      <c r="P673" s="226"/>
      <c r="Q673" s="226"/>
      <c r="R673" s="226"/>
      <c r="S673" s="226"/>
      <c r="T673" s="226"/>
      <c r="U673" s="226"/>
      <c r="V673" s="226"/>
      <c r="W673" s="226"/>
      <c r="X673" s="226"/>
    </row>
    <row r="674" spans="1:24" ht="14.25" x14ac:dyDescent="0.2">
      <c r="A674" s="226"/>
      <c r="B674" s="226"/>
      <c r="C674" s="226"/>
      <c r="D674" s="226"/>
      <c r="E674" s="226"/>
      <c r="F674" s="226"/>
      <c r="G674" s="226"/>
      <c r="H674" s="226"/>
      <c r="I674" s="226"/>
      <c r="J674" s="226"/>
      <c r="K674" s="226"/>
      <c r="L674" s="226"/>
      <c r="M674" s="226"/>
      <c r="N674" s="226"/>
      <c r="O674" s="226"/>
      <c r="P674" s="226"/>
      <c r="Q674" s="226"/>
      <c r="R674" s="226"/>
      <c r="S674" s="226"/>
      <c r="T674" s="226"/>
      <c r="U674" s="226"/>
      <c r="V674" s="226"/>
      <c r="W674" s="226"/>
      <c r="X674" s="226"/>
    </row>
    <row r="675" spans="1:24" ht="14.25" x14ac:dyDescent="0.2">
      <c r="A675" s="226"/>
      <c r="B675" s="226"/>
      <c r="C675" s="226"/>
      <c r="D675" s="226"/>
      <c r="E675" s="226"/>
      <c r="F675" s="226"/>
      <c r="G675" s="226"/>
      <c r="H675" s="226"/>
      <c r="I675" s="226"/>
      <c r="J675" s="226"/>
      <c r="K675" s="226"/>
      <c r="L675" s="226"/>
      <c r="M675" s="226"/>
      <c r="N675" s="226"/>
      <c r="O675" s="226"/>
      <c r="P675" s="226"/>
      <c r="Q675" s="226"/>
      <c r="R675" s="226"/>
      <c r="S675" s="226"/>
      <c r="T675" s="226"/>
      <c r="U675" s="226"/>
      <c r="V675" s="226"/>
      <c r="W675" s="226"/>
      <c r="X675" s="226"/>
    </row>
    <row r="676" spans="1:24" ht="14.25" x14ac:dyDescent="0.2">
      <c r="A676" s="226"/>
      <c r="B676" s="226"/>
      <c r="C676" s="226"/>
      <c r="D676" s="226"/>
      <c r="E676" s="226"/>
      <c r="F676" s="226"/>
      <c r="G676" s="226"/>
      <c r="H676" s="226"/>
      <c r="I676" s="226"/>
      <c r="J676" s="226"/>
      <c r="K676" s="226"/>
      <c r="L676" s="226"/>
      <c r="M676" s="226"/>
      <c r="N676" s="226"/>
      <c r="O676" s="226"/>
      <c r="P676" s="226"/>
      <c r="Q676" s="226"/>
      <c r="R676" s="226"/>
      <c r="S676" s="226"/>
      <c r="T676" s="226"/>
      <c r="U676" s="226"/>
      <c r="V676" s="226"/>
      <c r="W676" s="226"/>
      <c r="X676" s="226"/>
    </row>
    <row r="677" spans="1:24" ht="14.25" x14ac:dyDescent="0.2">
      <c r="A677" s="226"/>
      <c r="B677" s="226"/>
      <c r="C677" s="226"/>
      <c r="D677" s="226"/>
      <c r="E677" s="226"/>
      <c r="F677" s="226"/>
      <c r="G677" s="226"/>
      <c r="H677" s="226"/>
      <c r="I677" s="226"/>
      <c r="J677" s="226"/>
      <c r="K677" s="226"/>
      <c r="L677" s="226"/>
      <c r="M677" s="226"/>
      <c r="N677" s="226"/>
      <c r="O677" s="226"/>
      <c r="P677" s="226"/>
      <c r="Q677" s="226"/>
      <c r="R677" s="226"/>
      <c r="S677" s="226"/>
      <c r="T677" s="226"/>
      <c r="U677" s="226"/>
      <c r="V677" s="226"/>
      <c r="W677" s="226"/>
      <c r="X677" s="226"/>
    </row>
    <row r="678" spans="1:24" ht="14.25" x14ac:dyDescent="0.2">
      <c r="A678" s="226"/>
      <c r="B678" s="226"/>
      <c r="C678" s="226"/>
      <c r="D678" s="226"/>
      <c r="E678" s="226"/>
      <c r="F678" s="226"/>
      <c r="G678" s="226"/>
      <c r="H678" s="226"/>
      <c r="I678" s="226"/>
      <c r="J678" s="226"/>
      <c r="K678" s="226"/>
      <c r="L678" s="226"/>
      <c r="M678" s="226"/>
      <c r="N678" s="226"/>
      <c r="O678" s="226"/>
      <c r="P678" s="226"/>
      <c r="Q678" s="226"/>
      <c r="R678" s="226"/>
      <c r="S678" s="226"/>
      <c r="T678" s="226"/>
      <c r="U678" s="226"/>
      <c r="V678" s="226"/>
      <c r="W678" s="226"/>
      <c r="X678" s="226"/>
    </row>
    <row r="679" spans="1:24" ht="14.25" x14ac:dyDescent="0.2">
      <c r="A679" s="226"/>
      <c r="B679" s="226"/>
      <c r="C679" s="226"/>
      <c r="D679" s="226"/>
      <c r="E679" s="226"/>
      <c r="F679" s="226"/>
      <c r="G679" s="226"/>
      <c r="H679" s="226"/>
      <c r="I679" s="226"/>
      <c r="J679" s="226"/>
      <c r="K679" s="226"/>
      <c r="L679" s="226"/>
      <c r="M679" s="226"/>
      <c r="N679" s="226"/>
      <c r="O679" s="226"/>
      <c r="P679" s="226"/>
      <c r="Q679" s="226"/>
      <c r="R679" s="226"/>
      <c r="S679" s="226"/>
      <c r="T679" s="226"/>
      <c r="U679" s="226"/>
      <c r="V679" s="226"/>
      <c r="W679" s="226"/>
      <c r="X679" s="226"/>
    </row>
    <row r="680" spans="1:24" ht="14.25" x14ac:dyDescent="0.2">
      <c r="A680" s="226"/>
      <c r="B680" s="226"/>
      <c r="C680" s="226"/>
      <c r="D680" s="226"/>
      <c r="E680" s="226"/>
      <c r="F680" s="226"/>
      <c r="G680" s="226"/>
      <c r="H680" s="226"/>
      <c r="I680" s="226"/>
      <c r="J680" s="226"/>
      <c r="K680" s="226"/>
      <c r="L680" s="226"/>
      <c r="M680" s="226"/>
      <c r="N680" s="226"/>
      <c r="O680" s="226"/>
      <c r="P680" s="226"/>
      <c r="Q680" s="226"/>
      <c r="R680" s="226"/>
      <c r="S680" s="226"/>
      <c r="T680" s="226"/>
      <c r="U680" s="226"/>
      <c r="V680" s="226"/>
      <c r="W680" s="226"/>
      <c r="X680" s="226"/>
    </row>
    <row r="681" spans="1:24" ht="14.25" x14ac:dyDescent="0.2">
      <c r="A681" s="226"/>
      <c r="B681" s="226"/>
      <c r="C681" s="226"/>
      <c r="D681" s="226"/>
      <c r="E681" s="226"/>
      <c r="F681" s="226"/>
      <c r="G681" s="226"/>
      <c r="H681" s="226"/>
      <c r="I681" s="226"/>
      <c r="J681" s="226"/>
      <c r="K681" s="226"/>
      <c r="L681" s="226"/>
      <c r="M681" s="226"/>
      <c r="N681" s="226"/>
      <c r="O681" s="226"/>
      <c r="P681" s="226"/>
      <c r="Q681" s="226"/>
      <c r="R681" s="226"/>
      <c r="S681" s="226"/>
      <c r="T681" s="226"/>
      <c r="U681" s="226"/>
      <c r="V681" s="226"/>
      <c r="W681" s="226"/>
      <c r="X681" s="226"/>
    </row>
    <row r="682" spans="1:24" ht="14.25" x14ac:dyDescent="0.2">
      <c r="A682" s="226"/>
      <c r="B682" s="226"/>
      <c r="C682" s="226"/>
      <c r="D682" s="226"/>
      <c r="E682" s="226"/>
      <c r="F682" s="226"/>
      <c r="G682" s="226"/>
      <c r="H682" s="226"/>
      <c r="I682" s="226"/>
      <c r="J682" s="226"/>
      <c r="K682" s="226"/>
      <c r="L682" s="226"/>
      <c r="M682" s="226"/>
      <c r="N682" s="226"/>
      <c r="O682" s="226"/>
      <c r="P682" s="226"/>
      <c r="Q682" s="226"/>
      <c r="R682" s="226"/>
      <c r="S682" s="226"/>
      <c r="T682" s="226"/>
      <c r="U682" s="226"/>
      <c r="V682" s="226"/>
      <c r="W682" s="226"/>
      <c r="X682" s="226"/>
    </row>
    <row r="683" spans="1:24" ht="14.25" x14ac:dyDescent="0.2">
      <c r="A683" s="226"/>
      <c r="B683" s="226"/>
      <c r="C683" s="226"/>
      <c r="D683" s="226"/>
      <c r="E683" s="226"/>
      <c r="F683" s="226"/>
      <c r="G683" s="226"/>
      <c r="H683" s="226"/>
      <c r="I683" s="226"/>
      <c r="J683" s="226"/>
      <c r="K683" s="226"/>
      <c r="L683" s="226"/>
      <c r="M683" s="226"/>
      <c r="N683" s="226"/>
      <c r="O683" s="226"/>
      <c r="P683" s="226"/>
      <c r="Q683" s="226"/>
      <c r="R683" s="226"/>
      <c r="S683" s="226"/>
      <c r="T683" s="226"/>
      <c r="U683" s="226"/>
      <c r="V683" s="226"/>
      <c r="W683" s="226"/>
      <c r="X683" s="226"/>
    </row>
    <row r="684" spans="1:24" ht="14.25" x14ac:dyDescent="0.2">
      <c r="A684" s="226"/>
      <c r="B684" s="226"/>
      <c r="C684" s="226"/>
      <c r="D684" s="226"/>
      <c r="E684" s="226"/>
      <c r="F684" s="226"/>
      <c r="G684" s="226"/>
      <c r="H684" s="226"/>
      <c r="I684" s="226"/>
      <c r="J684" s="226"/>
      <c r="K684" s="226"/>
      <c r="L684" s="226"/>
      <c r="M684" s="226"/>
      <c r="N684" s="226"/>
      <c r="O684" s="226"/>
      <c r="P684" s="226"/>
      <c r="Q684" s="226"/>
      <c r="R684" s="226"/>
      <c r="S684" s="226"/>
      <c r="T684" s="226"/>
      <c r="U684" s="226"/>
      <c r="V684" s="226"/>
      <c r="W684" s="226"/>
      <c r="X684" s="226"/>
    </row>
    <row r="685" spans="1:24" ht="14.25" x14ac:dyDescent="0.2">
      <c r="A685" s="226"/>
      <c r="B685" s="226"/>
      <c r="C685" s="226"/>
      <c r="D685" s="226"/>
      <c r="E685" s="226"/>
      <c r="F685" s="226"/>
      <c r="G685" s="226"/>
      <c r="H685" s="226"/>
      <c r="I685" s="226"/>
      <c r="J685" s="226"/>
      <c r="K685" s="226"/>
      <c r="L685" s="226"/>
      <c r="M685" s="226"/>
      <c r="N685" s="226"/>
      <c r="O685" s="226"/>
      <c r="P685" s="226"/>
      <c r="Q685" s="226"/>
      <c r="R685" s="226"/>
      <c r="S685" s="226"/>
      <c r="T685" s="226"/>
      <c r="U685" s="226"/>
      <c r="V685" s="226"/>
      <c r="W685" s="226"/>
      <c r="X685" s="226"/>
    </row>
    <row r="686" spans="1:24" ht="14.25" x14ac:dyDescent="0.2">
      <c r="A686" s="226"/>
      <c r="B686" s="226"/>
      <c r="C686" s="226"/>
      <c r="D686" s="226"/>
      <c r="E686" s="226"/>
      <c r="F686" s="226"/>
      <c r="G686" s="226"/>
      <c r="H686" s="226"/>
      <c r="I686" s="226"/>
      <c r="J686" s="226"/>
      <c r="K686" s="226"/>
      <c r="L686" s="226"/>
      <c r="M686" s="226"/>
      <c r="N686" s="226"/>
      <c r="O686" s="226"/>
      <c r="P686" s="226"/>
      <c r="Q686" s="226"/>
      <c r="R686" s="226"/>
      <c r="S686" s="226"/>
      <c r="T686" s="226"/>
      <c r="U686" s="226"/>
      <c r="V686" s="226"/>
      <c r="W686" s="226"/>
      <c r="X686" s="226"/>
    </row>
    <row r="687" spans="1:24" ht="14.25" x14ac:dyDescent="0.2">
      <c r="A687" s="226"/>
      <c r="B687" s="226"/>
      <c r="C687" s="226"/>
      <c r="D687" s="226"/>
      <c r="E687" s="226"/>
      <c r="F687" s="226"/>
      <c r="G687" s="226"/>
      <c r="H687" s="226"/>
      <c r="I687" s="226"/>
      <c r="J687" s="226"/>
      <c r="K687" s="226"/>
      <c r="L687" s="226"/>
      <c r="M687" s="226"/>
      <c r="N687" s="226"/>
      <c r="O687" s="226"/>
      <c r="P687" s="226"/>
      <c r="Q687" s="226"/>
      <c r="R687" s="226"/>
      <c r="S687" s="226"/>
      <c r="T687" s="226"/>
      <c r="U687" s="226"/>
      <c r="V687" s="226"/>
      <c r="W687" s="226"/>
      <c r="X687" s="226"/>
    </row>
    <row r="688" spans="1:24" ht="14.25" x14ac:dyDescent="0.2">
      <c r="A688" s="226"/>
      <c r="B688" s="226"/>
      <c r="C688" s="226"/>
      <c r="D688" s="226"/>
      <c r="E688" s="226"/>
      <c r="F688" s="226"/>
      <c r="G688" s="226"/>
      <c r="H688" s="226"/>
      <c r="I688" s="226"/>
      <c r="J688" s="226"/>
      <c r="K688" s="226"/>
      <c r="L688" s="226"/>
      <c r="M688" s="226"/>
      <c r="N688" s="226"/>
      <c r="O688" s="226"/>
      <c r="P688" s="226"/>
      <c r="Q688" s="226"/>
      <c r="R688" s="226"/>
      <c r="S688" s="226"/>
      <c r="T688" s="226"/>
      <c r="U688" s="226"/>
      <c r="V688" s="226"/>
      <c r="W688" s="226"/>
      <c r="X688" s="226"/>
    </row>
    <row r="689" spans="1:24" ht="14.25" x14ac:dyDescent="0.2">
      <c r="A689" s="226"/>
      <c r="B689" s="226"/>
      <c r="C689" s="226"/>
      <c r="D689" s="226"/>
      <c r="E689" s="226"/>
      <c r="F689" s="226"/>
      <c r="G689" s="226"/>
      <c r="H689" s="226"/>
      <c r="I689" s="226"/>
      <c r="J689" s="226"/>
      <c r="K689" s="226"/>
      <c r="L689" s="226"/>
      <c r="M689" s="226"/>
      <c r="N689" s="226"/>
      <c r="O689" s="226"/>
      <c r="P689" s="226"/>
      <c r="Q689" s="226"/>
      <c r="R689" s="226"/>
      <c r="S689" s="226"/>
      <c r="T689" s="226"/>
      <c r="U689" s="226"/>
      <c r="V689" s="226"/>
      <c r="W689" s="226"/>
      <c r="X689" s="226"/>
    </row>
    <row r="690" spans="1:24" ht="14.25" x14ac:dyDescent="0.2">
      <c r="A690" s="226"/>
      <c r="B690" s="226"/>
      <c r="C690" s="226"/>
      <c r="D690" s="226"/>
      <c r="E690" s="226"/>
      <c r="F690" s="226"/>
      <c r="G690" s="226"/>
      <c r="H690" s="226"/>
      <c r="I690" s="226"/>
      <c r="J690" s="226"/>
      <c r="K690" s="226"/>
      <c r="L690" s="226"/>
      <c r="M690" s="226"/>
      <c r="N690" s="226"/>
      <c r="O690" s="226"/>
      <c r="P690" s="226"/>
      <c r="Q690" s="226"/>
      <c r="R690" s="226"/>
      <c r="S690" s="226"/>
      <c r="T690" s="226"/>
      <c r="U690" s="226"/>
      <c r="V690" s="226"/>
      <c r="W690" s="226"/>
      <c r="X690" s="226"/>
    </row>
    <row r="691" spans="1:24" ht="14.25" x14ac:dyDescent="0.2">
      <c r="A691" s="226"/>
      <c r="B691" s="226"/>
      <c r="C691" s="226"/>
      <c r="D691" s="226"/>
      <c r="E691" s="226"/>
      <c r="F691" s="226"/>
      <c r="G691" s="226"/>
      <c r="H691" s="226"/>
      <c r="I691" s="226"/>
      <c r="J691" s="226"/>
      <c r="K691" s="226"/>
      <c r="L691" s="226"/>
      <c r="M691" s="226"/>
      <c r="N691" s="226"/>
      <c r="O691" s="226"/>
      <c r="P691" s="226"/>
      <c r="Q691" s="226"/>
      <c r="R691" s="226"/>
      <c r="S691" s="226"/>
      <c r="T691" s="226"/>
      <c r="U691" s="226"/>
      <c r="V691" s="226"/>
      <c r="W691" s="226"/>
      <c r="X691" s="226"/>
    </row>
    <row r="692" spans="1:24" ht="14.25" x14ac:dyDescent="0.2">
      <c r="A692" s="226"/>
      <c r="B692" s="226"/>
      <c r="C692" s="226"/>
      <c r="D692" s="226"/>
      <c r="E692" s="226"/>
      <c r="F692" s="226"/>
      <c r="G692" s="226"/>
      <c r="H692" s="226"/>
      <c r="I692" s="226"/>
      <c r="J692" s="226"/>
      <c r="K692" s="226"/>
      <c r="L692" s="226"/>
      <c r="M692" s="226"/>
      <c r="N692" s="226"/>
      <c r="O692" s="226"/>
      <c r="P692" s="226"/>
      <c r="Q692" s="226"/>
      <c r="R692" s="226"/>
      <c r="S692" s="226"/>
      <c r="T692" s="226"/>
      <c r="U692" s="226"/>
      <c r="V692" s="226"/>
      <c r="W692" s="226"/>
      <c r="X692" s="226"/>
    </row>
    <row r="693" spans="1:24" ht="14.25" x14ac:dyDescent="0.2">
      <c r="A693" s="226"/>
      <c r="B693" s="226"/>
      <c r="C693" s="226"/>
      <c r="D693" s="226"/>
      <c r="E693" s="226"/>
      <c r="F693" s="226"/>
      <c r="G693" s="226"/>
      <c r="H693" s="226"/>
      <c r="I693" s="226"/>
      <c r="J693" s="226"/>
      <c r="K693" s="226"/>
      <c r="L693" s="226"/>
      <c r="M693" s="226"/>
      <c r="N693" s="226"/>
      <c r="O693" s="226"/>
      <c r="P693" s="226"/>
      <c r="Q693" s="226"/>
      <c r="R693" s="226"/>
      <c r="S693" s="226"/>
      <c r="T693" s="226"/>
      <c r="U693" s="226"/>
      <c r="V693" s="226"/>
      <c r="W693" s="226"/>
      <c r="X693" s="226"/>
    </row>
    <row r="694" spans="1:24" ht="14.25" x14ac:dyDescent="0.2">
      <c r="A694" s="226"/>
      <c r="B694" s="226"/>
      <c r="C694" s="226"/>
      <c r="D694" s="226"/>
      <c r="E694" s="226"/>
      <c r="F694" s="226"/>
      <c r="G694" s="226"/>
      <c r="H694" s="226"/>
      <c r="I694" s="226"/>
      <c r="J694" s="226"/>
      <c r="K694" s="226"/>
      <c r="L694" s="226"/>
      <c r="M694" s="226"/>
      <c r="N694" s="226"/>
      <c r="O694" s="226"/>
      <c r="P694" s="226"/>
      <c r="Q694" s="226"/>
      <c r="R694" s="226"/>
      <c r="S694" s="226"/>
      <c r="T694" s="226"/>
      <c r="U694" s="226"/>
      <c r="V694" s="226"/>
      <c r="W694" s="226"/>
      <c r="X694" s="226"/>
    </row>
    <row r="695" spans="1:24" ht="14.25" x14ac:dyDescent="0.2">
      <c r="A695" s="226"/>
      <c r="B695" s="226"/>
      <c r="C695" s="226"/>
      <c r="D695" s="226"/>
      <c r="E695" s="226"/>
      <c r="F695" s="226"/>
      <c r="G695" s="226"/>
      <c r="H695" s="226"/>
      <c r="I695" s="226"/>
      <c r="J695" s="226"/>
      <c r="K695" s="226"/>
      <c r="L695" s="226"/>
      <c r="M695" s="226"/>
      <c r="N695" s="226"/>
      <c r="O695" s="226"/>
      <c r="P695" s="226"/>
      <c r="Q695" s="226"/>
      <c r="R695" s="226"/>
      <c r="S695" s="226"/>
      <c r="T695" s="226"/>
      <c r="U695" s="226"/>
      <c r="V695" s="226"/>
      <c r="W695" s="226"/>
      <c r="X695" s="226"/>
    </row>
    <row r="696" spans="1:24" ht="14.25" x14ac:dyDescent="0.2">
      <c r="A696" s="226"/>
      <c r="B696" s="226"/>
      <c r="C696" s="226"/>
      <c r="D696" s="226"/>
      <c r="E696" s="226"/>
      <c r="F696" s="226"/>
      <c r="G696" s="226"/>
      <c r="H696" s="226"/>
      <c r="I696" s="226"/>
      <c r="J696" s="226"/>
      <c r="K696" s="226"/>
      <c r="L696" s="226"/>
      <c r="M696" s="226"/>
      <c r="N696" s="226"/>
      <c r="O696" s="226"/>
      <c r="P696" s="226"/>
      <c r="Q696" s="226"/>
      <c r="R696" s="226"/>
      <c r="S696" s="226"/>
      <c r="T696" s="226"/>
      <c r="U696" s="226"/>
      <c r="V696" s="226"/>
      <c r="W696" s="226"/>
      <c r="X696" s="226"/>
    </row>
    <row r="697" spans="1:24" ht="14.25" x14ac:dyDescent="0.2">
      <c r="A697" s="226"/>
      <c r="B697" s="226"/>
      <c r="C697" s="226"/>
      <c r="D697" s="226"/>
      <c r="E697" s="226"/>
      <c r="F697" s="226"/>
      <c r="G697" s="226"/>
      <c r="H697" s="226"/>
      <c r="I697" s="226"/>
      <c r="J697" s="226"/>
      <c r="K697" s="226"/>
      <c r="L697" s="226"/>
      <c r="M697" s="226"/>
      <c r="N697" s="226"/>
      <c r="O697" s="226"/>
      <c r="P697" s="226"/>
      <c r="Q697" s="226"/>
      <c r="R697" s="226"/>
      <c r="S697" s="226"/>
      <c r="T697" s="226"/>
      <c r="U697" s="226"/>
      <c r="V697" s="226"/>
      <c r="W697" s="226"/>
      <c r="X697" s="226"/>
    </row>
    <row r="698" spans="1:24" ht="14.25" x14ac:dyDescent="0.2">
      <c r="A698" s="226"/>
      <c r="B698" s="226"/>
      <c r="C698" s="226"/>
      <c r="D698" s="226"/>
      <c r="E698" s="226"/>
      <c r="F698" s="226"/>
      <c r="G698" s="226"/>
      <c r="H698" s="226"/>
      <c r="I698" s="226"/>
      <c r="J698" s="226"/>
      <c r="K698" s="226"/>
      <c r="L698" s="226"/>
      <c r="M698" s="226"/>
      <c r="N698" s="226"/>
      <c r="O698" s="226"/>
      <c r="P698" s="226"/>
      <c r="Q698" s="226"/>
      <c r="R698" s="226"/>
      <c r="S698" s="226"/>
      <c r="T698" s="226"/>
      <c r="U698" s="226"/>
      <c r="V698" s="226"/>
      <c r="W698" s="226"/>
      <c r="X698" s="226"/>
    </row>
    <row r="699" spans="1:24" ht="14.25" x14ac:dyDescent="0.2">
      <c r="A699" s="226"/>
      <c r="B699" s="226"/>
      <c r="C699" s="226"/>
      <c r="D699" s="226"/>
      <c r="E699" s="226"/>
      <c r="F699" s="226"/>
      <c r="G699" s="226"/>
      <c r="H699" s="226"/>
      <c r="I699" s="226"/>
      <c r="J699" s="226"/>
      <c r="K699" s="226"/>
      <c r="L699" s="226"/>
      <c r="M699" s="226"/>
      <c r="N699" s="226"/>
      <c r="O699" s="226"/>
      <c r="P699" s="226"/>
      <c r="Q699" s="226"/>
      <c r="R699" s="226"/>
      <c r="S699" s="226"/>
      <c r="T699" s="226"/>
      <c r="U699" s="226"/>
      <c r="V699" s="226"/>
      <c r="W699" s="226"/>
      <c r="X699" s="226"/>
    </row>
    <row r="700" spans="1:24" ht="14.25" x14ac:dyDescent="0.2">
      <c r="A700" s="226"/>
      <c r="B700" s="226"/>
      <c r="C700" s="226"/>
      <c r="D700" s="226"/>
      <c r="E700" s="226"/>
      <c r="F700" s="226"/>
      <c r="G700" s="226"/>
      <c r="H700" s="226"/>
      <c r="I700" s="226"/>
      <c r="J700" s="226"/>
      <c r="K700" s="226"/>
      <c r="L700" s="226"/>
      <c r="M700" s="226"/>
      <c r="N700" s="226"/>
      <c r="O700" s="226"/>
      <c r="P700" s="226"/>
      <c r="Q700" s="226"/>
      <c r="R700" s="226"/>
      <c r="S700" s="226"/>
      <c r="T700" s="226"/>
      <c r="U700" s="226"/>
      <c r="V700" s="226"/>
      <c r="W700" s="226"/>
      <c r="X700" s="226"/>
    </row>
    <row r="701" spans="1:24" ht="14.25" x14ac:dyDescent="0.2">
      <c r="A701" s="226"/>
      <c r="B701" s="226"/>
      <c r="C701" s="226"/>
      <c r="D701" s="226"/>
      <c r="E701" s="226"/>
      <c r="F701" s="226"/>
      <c r="G701" s="226"/>
      <c r="H701" s="226"/>
      <c r="I701" s="226"/>
      <c r="J701" s="226"/>
      <c r="K701" s="226"/>
      <c r="L701" s="226"/>
      <c r="M701" s="226"/>
      <c r="N701" s="226"/>
      <c r="O701" s="226"/>
      <c r="P701" s="226"/>
      <c r="Q701" s="226"/>
      <c r="R701" s="226"/>
      <c r="S701" s="226"/>
      <c r="T701" s="226"/>
      <c r="U701" s="226"/>
      <c r="V701" s="226"/>
      <c r="W701" s="226"/>
      <c r="X701" s="226"/>
    </row>
    <row r="702" spans="1:24" ht="14.25" x14ac:dyDescent="0.2">
      <c r="A702" s="226"/>
      <c r="B702" s="226"/>
      <c r="C702" s="226"/>
      <c r="D702" s="226"/>
      <c r="E702" s="226"/>
      <c r="F702" s="226"/>
      <c r="G702" s="226"/>
      <c r="H702" s="226"/>
      <c r="I702" s="226"/>
      <c r="J702" s="226"/>
      <c r="K702" s="226"/>
      <c r="L702" s="226"/>
      <c r="M702" s="226"/>
      <c r="N702" s="226"/>
      <c r="O702" s="226"/>
      <c r="P702" s="226"/>
      <c r="Q702" s="226"/>
      <c r="R702" s="226"/>
      <c r="S702" s="226"/>
      <c r="T702" s="226"/>
      <c r="U702" s="226"/>
      <c r="V702" s="226"/>
      <c r="W702" s="226"/>
      <c r="X702" s="226"/>
    </row>
    <row r="703" spans="1:24" ht="14.25" x14ac:dyDescent="0.2">
      <c r="A703" s="226"/>
      <c r="B703" s="226"/>
      <c r="C703" s="226"/>
      <c r="D703" s="226"/>
      <c r="E703" s="226"/>
      <c r="F703" s="226"/>
      <c r="G703" s="226"/>
      <c r="H703" s="226"/>
      <c r="I703" s="226"/>
      <c r="J703" s="226"/>
      <c r="K703" s="226"/>
      <c r="L703" s="226"/>
      <c r="M703" s="226"/>
      <c r="N703" s="226"/>
      <c r="O703" s="226"/>
      <c r="P703" s="226"/>
      <c r="Q703" s="226"/>
      <c r="R703" s="226"/>
      <c r="S703" s="226"/>
      <c r="T703" s="226"/>
      <c r="U703" s="226"/>
      <c r="V703" s="226"/>
      <c r="W703" s="226"/>
      <c r="X703" s="226"/>
    </row>
    <row r="704" spans="1:24" ht="14.25" x14ac:dyDescent="0.2">
      <c r="A704" s="226"/>
      <c r="B704" s="226"/>
      <c r="C704" s="226"/>
      <c r="D704" s="226"/>
      <c r="E704" s="226"/>
      <c r="F704" s="226"/>
      <c r="G704" s="226"/>
      <c r="H704" s="226"/>
      <c r="I704" s="226"/>
      <c r="J704" s="226"/>
      <c r="K704" s="226"/>
      <c r="L704" s="226"/>
      <c r="M704" s="226"/>
      <c r="N704" s="226"/>
      <c r="O704" s="226"/>
      <c r="P704" s="226"/>
      <c r="Q704" s="226"/>
      <c r="R704" s="226"/>
      <c r="S704" s="226"/>
      <c r="T704" s="226"/>
      <c r="U704" s="226"/>
      <c r="V704" s="226"/>
      <c r="W704" s="226"/>
      <c r="X704" s="226"/>
    </row>
    <row r="705" spans="1:24" ht="14.25" x14ac:dyDescent="0.2">
      <c r="A705" s="226"/>
      <c r="B705" s="226"/>
      <c r="C705" s="226"/>
      <c r="D705" s="226"/>
      <c r="E705" s="226"/>
      <c r="F705" s="226"/>
      <c r="G705" s="226"/>
      <c r="H705" s="226"/>
      <c r="I705" s="226"/>
      <c r="J705" s="226"/>
      <c r="K705" s="226"/>
      <c r="L705" s="226"/>
      <c r="M705" s="226"/>
      <c r="N705" s="226"/>
      <c r="O705" s="226"/>
      <c r="P705" s="226"/>
      <c r="Q705" s="226"/>
      <c r="R705" s="226"/>
      <c r="S705" s="226"/>
      <c r="T705" s="226"/>
      <c r="U705" s="226"/>
      <c r="V705" s="226"/>
      <c r="W705" s="226"/>
      <c r="X705" s="226"/>
    </row>
    <row r="706" spans="1:24" ht="14.25" x14ac:dyDescent="0.2">
      <c r="A706" s="226"/>
      <c r="B706" s="226"/>
      <c r="C706" s="226"/>
      <c r="D706" s="226"/>
      <c r="E706" s="226"/>
      <c r="F706" s="226"/>
      <c r="G706" s="226"/>
      <c r="H706" s="226"/>
      <c r="I706" s="226"/>
      <c r="J706" s="226"/>
      <c r="K706" s="226"/>
      <c r="L706" s="226"/>
      <c r="M706" s="226"/>
      <c r="N706" s="226"/>
      <c r="O706" s="226"/>
      <c r="P706" s="226"/>
      <c r="Q706" s="226"/>
      <c r="R706" s="226"/>
      <c r="S706" s="226"/>
      <c r="T706" s="226"/>
      <c r="U706" s="226"/>
      <c r="V706" s="226"/>
      <c r="W706" s="226"/>
      <c r="X706" s="226"/>
    </row>
    <row r="707" spans="1:24" ht="14.25" x14ac:dyDescent="0.2">
      <c r="A707" s="226"/>
      <c r="B707" s="226"/>
      <c r="C707" s="226"/>
      <c r="D707" s="226"/>
      <c r="E707" s="226"/>
      <c r="F707" s="226"/>
      <c r="G707" s="226"/>
      <c r="H707" s="226"/>
      <c r="I707" s="226"/>
      <c r="J707" s="226"/>
      <c r="K707" s="226"/>
      <c r="L707" s="226"/>
      <c r="M707" s="226"/>
      <c r="N707" s="226"/>
      <c r="O707" s="226"/>
      <c r="P707" s="226"/>
      <c r="Q707" s="226"/>
      <c r="R707" s="226"/>
      <c r="S707" s="226"/>
      <c r="T707" s="226"/>
      <c r="U707" s="226"/>
      <c r="V707" s="226"/>
      <c r="W707" s="226"/>
      <c r="X707" s="226"/>
    </row>
    <row r="708" spans="1:24" ht="14.25" x14ac:dyDescent="0.2">
      <c r="A708" s="226"/>
      <c r="B708" s="226"/>
      <c r="C708" s="226"/>
      <c r="D708" s="226"/>
      <c r="E708" s="226"/>
      <c r="F708" s="226"/>
      <c r="G708" s="226"/>
      <c r="H708" s="226"/>
      <c r="I708" s="226"/>
      <c r="J708" s="226"/>
      <c r="K708" s="226"/>
      <c r="L708" s="226"/>
      <c r="M708" s="226"/>
      <c r="N708" s="226"/>
      <c r="O708" s="226"/>
      <c r="P708" s="226"/>
      <c r="Q708" s="226"/>
      <c r="R708" s="226"/>
      <c r="S708" s="226"/>
      <c r="T708" s="226"/>
      <c r="U708" s="226"/>
      <c r="V708" s="226"/>
      <c r="W708" s="226"/>
      <c r="X708" s="226"/>
    </row>
    <row r="709" spans="1:24" ht="14.25" x14ac:dyDescent="0.2">
      <c r="A709" s="226"/>
      <c r="B709" s="226"/>
      <c r="C709" s="226"/>
      <c r="D709" s="226"/>
      <c r="E709" s="226"/>
      <c r="F709" s="226"/>
      <c r="G709" s="226"/>
      <c r="H709" s="226"/>
      <c r="I709" s="226"/>
      <c r="J709" s="226"/>
      <c r="K709" s="226"/>
      <c r="L709" s="226"/>
      <c r="M709" s="226"/>
      <c r="N709" s="226"/>
      <c r="O709" s="226"/>
      <c r="P709" s="226"/>
      <c r="Q709" s="226"/>
      <c r="R709" s="226"/>
      <c r="S709" s="226"/>
      <c r="T709" s="226"/>
      <c r="U709" s="226"/>
      <c r="V709" s="226"/>
      <c r="W709" s="226"/>
      <c r="X709" s="226"/>
    </row>
    <row r="710" spans="1:24" ht="14.25" x14ac:dyDescent="0.2">
      <c r="A710" s="226"/>
      <c r="B710" s="226"/>
      <c r="C710" s="226"/>
      <c r="D710" s="226"/>
      <c r="E710" s="226"/>
      <c r="F710" s="226"/>
      <c r="G710" s="226"/>
      <c r="H710" s="226"/>
      <c r="I710" s="226"/>
      <c r="J710" s="226"/>
      <c r="K710" s="226"/>
      <c r="L710" s="226"/>
      <c r="M710" s="226"/>
      <c r="N710" s="226"/>
      <c r="O710" s="226"/>
      <c r="P710" s="226"/>
      <c r="Q710" s="226"/>
      <c r="R710" s="226"/>
      <c r="S710" s="226"/>
      <c r="T710" s="226"/>
      <c r="U710" s="226"/>
      <c r="V710" s="226"/>
      <c r="W710" s="226"/>
      <c r="X710" s="226"/>
    </row>
    <row r="711" spans="1:24" ht="14.25" x14ac:dyDescent="0.2">
      <c r="A711" s="226"/>
      <c r="B711" s="226"/>
      <c r="C711" s="226"/>
      <c r="D711" s="226"/>
      <c r="E711" s="226"/>
      <c r="F711" s="226"/>
      <c r="G711" s="226"/>
      <c r="H711" s="226"/>
      <c r="I711" s="226"/>
      <c r="J711" s="226"/>
      <c r="K711" s="226"/>
      <c r="L711" s="226"/>
      <c r="M711" s="226"/>
      <c r="N711" s="226"/>
      <c r="O711" s="226"/>
      <c r="P711" s="226"/>
      <c r="Q711" s="226"/>
      <c r="R711" s="226"/>
      <c r="S711" s="226"/>
      <c r="T711" s="226"/>
      <c r="U711" s="226"/>
      <c r="V711" s="226"/>
      <c r="W711" s="226"/>
      <c r="X711" s="226"/>
    </row>
    <row r="712" spans="1:24" ht="14.25" x14ac:dyDescent="0.2">
      <c r="A712" s="226"/>
      <c r="B712" s="226"/>
      <c r="C712" s="226"/>
      <c r="D712" s="226"/>
      <c r="E712" s="226"/>
      <c r="F712" s="226"/>
      <c r="G712" s="226"/>
      <c r="H712" s="226"/>
      <c r="I712" s="226"/>
      <c r="J712" s="226"/>
      <c r="K712" s="226"/>
      <c r="L712" s="226"/>
      <c r="M712" s="226"/>
      <c r="N712" s="226"/>
      <c r="O712" s="226"/>
      <c r="P712" s="226"/>
      <c r="Q712" s="226"/>
      <c r="R712" s="226"/>
      <c r="S712" s="226"/>
      <c r="T712" s="226"/>
      <c r="U712" s="226"/>
      <c r="V712" s="226"/>
      <c r="W712" s="226"/>
      <c r="X712" s="226"/>
    </row>
    <row r="713" spans="1:24" ht="14.25" x14ac:dyDescent="0.2">
      <c r="A713" s="226"/>
      <c r="B713" s="226"/>
      <c r="C713" s="226"/>
      <c r="D713" s="226"/>
      <c r="E713" s="226"/>
      <c r="F713" s="226"/>
      <c r="G713" s="226"/>
      <c r="H713" s="226"/>
      <c r="I713" s="226"/>
      <c r="J713" s="226"/>
      <c r="K713" s="226"/>
      <c r="L713" s="226"/>
      <c r="M713" s="226"/>
      <c r="N713" s="226"/>
      <c r="O713" s="226"/>
      <c r="P713" s="226"/>
      <c r="Q713" s="226"/>
      <c r="R713" s="226"/>
      <c r="S713" s="226"/>
      <c r="T713" s="226"/>
      <c r="U713" s="226"/>
      <c r="V713" s="226"/>
      <c r="W713" s="226"/>
      <c r="X713" s="226"/>
    </row>
    <row r="714" spans="1:24" ht="14.25" x14ac:dyDescent="0.2">
      <c r="A714" s="226"/>
      <c r="B714" s="226"/>
      <c r="C714" s="226"/>
      <c r="D714" s="226"/>
      <c r="E714" s="226"/>
      <c r="F714" s="226"/>
      <c r="G714" s="226"/>
      <c r="H714" s="226"/>
      <c r="I714" s="226"/>
      <c r="J714" s="226"/>
      <c r="K714" s="226"/>
      <c r="L714" s="226"/>
      <c r="M714" s="226"/>
      <c r="N714" s="226"/>
      <c r="O714" s="226"/>
      <c r="P714" s="226"/>
      <c r="Q714" s="226"/>
      <c r="R714" s="226"/>
      <c r="S714" s="226"/>
      <c r="T714" s="226"/>
      <c r="U714" s="226"/>
      <c r="V714" s="226"/>
      <c r="W714" s="226"/>
      <c r="X714" s="226"/>
    </row>
    <row r="715" spans="1:24" ht="14.25" x14ac:dyDescent="0.2">
      <c r="A715" s="226"/>
      <c r="B715" s="226"/>
      <c r="C715" s="226"/>
      <c r="D715" s="226"/>
      <c r="E715" s="226"/>
      <c r="F715" s="226"/>
      <c r="G715" s="226"/>
      <c r="H715" s="226"/>
      <c r="I715" s="226"/>
      <c r="J715" s="226"/>
      <c r="K715" s="226"/>
      <c r="L715" s="226"/>
      <c r="M715" s="226"/>
      <c r="N715" s="226"/>
      <c r="O715" s="226"/>
      <c r="P715" s="226"/>
      <c r="Q715" s="226"/>
      <c r="R715" s="226"/>
      <c r="S715" s="226"/>
      <c r="T715" s="226"/>
      <c r="U715" s="226"/>
      <c r="V715" s="226"/>
      <c r="W715" s="226"/>
      <c r="X715" s="226"/>
    </row>
    <row r="716" spans="1:24" ht="14.25" x14ac:dyDescent="0.2">
      <c r="A716" s="226"/>
      <c r="B716" s="226"/>
      <c r="C716" s="226"/>
      <c r="D716" s="226"/>
      <c r="E716" s="226"/>
      <c r="F716" s="226"/>
      <c r="G716" s="226"/>
      <c r="H716" s="226"/>
      <c r="I716" s="226"/>
      <c r="J716" s="226"/>
      <c r="K716" s="226"/>
      <c r="L716" s="226"/>
      <c r="M716" s="226"/>
      <c r="N716" s="226"/>
      <c r="O716" s="226"/>
      <c r="P716" s="226"/>
      <c r="Q716" s="226"/>
      <c r="R716" s="226"/>
      <c r="S716" s="226"/>
      <c r="T716" s="226"/>
      <c r="U716" s="226"/>
      <c r="V716" s="226"/>
      <c r="W716" s="226"/>
      <c r="X716" s="226"/>
    </row>
    <row r="717" spans="1:24" ht="14.25" x14ac:dyDescent="0.2">
      <c r="A717" s="226"/>
      <c r="B717" s="226"/>
      <c r="C717" s="226"/>
      <c r="D717" s="226"/>
      <c r="E717" s="226"/>
      <c r="F717" s="226"/>
      <c r="G717" s="226"/>
      <c r="H717" s="226"/>
      <c r="I717" s="226"/>
      <c r="J717" s="226"/>
      <c r="K717" s="226"/>
      <c r="L717" s="226"/>
      <c r="M717" s="226"/>
      <c r="N717" s="226"/>
      <c r="O717" s="226"/>
      <c r="P717" s="226"/>
      <c r="Q717" s="226"/>
      <c r="R717" s="226"/>
      <c r="S717" s="226"/>
      <c r="T717" s="226"/>
      <c r="U717" s="226"/>
      <c r="V717" s="226"/>
      <c r="W717" s="226"/>
      <c r="X717" s="226"/>
    </row>
    <row r="718" spans="1:24" ht="14.25" x14ac:dyDescent="0.2">
      <c r="A718" s="226"/>
      <c r="B718" s="226"/>
      <c r="C718" s="226"/>
      <c r="D718" s="226"/>
      <c r="E718" s="226"/>
      <c r="F718" s="226"/>
      <c r="G718" s="226"/>
      <c r="H718" s="226"/>
      <c r="I718" s="226"/>
      <c r="J718" s="226"/>
      <c r="K718" s="226"/>
      <c r="L718" s="226"/>
      <c r="M718" s="226"/>
      <c r="N718" s="226"/>
      <c r="O718" s="226"/>
      <c r="P718" s="226"/>
      <c r="Q718" s="226"/>
      <c r="R718" s="226"/>
      <c r="S718" s="226"/>
      <c r="T718" s="226"/>
      <c r="U718" s="226"/>
      <c r="V718" s="226"/>
      <c r="W718" s="226"/>
      <c r="X718" s="226"/>
    </row>
    <row r="719" spans="1:24" ht="14.25" x14ac:dyDescent="0.2">
      <c r="A719" s="226"/>
      <c r="B719" s="226"/>
      <c r="C719" s="226"/>
      <c r="D719" s="226"/>
      <c r="E719" s="226"/>
      <c r="F719" s="226"/>
      <c r="G719" s="226"/>
      <c r="H719" s="226"/>
      <c r="I719" s="226"/>
      <c r="J719" s="226"/>
      <c r="K719" s="226"/>
      <c r="L719" s="226"/>
      <c r="M719" s="226"/>
      <c r="N719" s="226"/>
      <c r="O719" s="226"/>
      <c r="P719" s="226"/>
      <c r="Q719" s="226"/>
      <c r="R719" s="226"/>
      <c r="S719" s="226"/>
      <c r="T719" s="226"/>
      <c r="U719" s="226"/>
      <c r="V719" s="226"/>
      <c r="W719" s="226"/>
      <c r="X719" s="226"/>
    </row>
    <row r="720" spans="1:24" ht="14.25" x14ac:dyDescent="0.2">
      <c r="A720" s="226"/>
      <c r="B720" s="226"/>
      <c r="C720" s="226"/>
      <c r="D720" s="226"/>
      <c r="E720" s="226"/>
      <c r="F720" s="226"/>
      <c r="G720" s="226"/>
      <c r="H720" s="226"/>
      <c r="I720" s="226"/>
      <c r="J720" s="226"/>
      <c r="K720" s="226"/>
      <c r="L720" s="226"/>
      <c r="M720" s="226"/>
      <c r="N720" s="226"/>
      <c r="O720" s="226"/>
      <c r="P720" s="226"/>
      <c r="Q720" s="226"/>
      <c r="R720" s="226"/>
      <c r="S720" s="226"/>
      <c r="T720" s="226"/>
      <c r="U720" s="226"/>
      <c r="V720" s="226"/>
      <c r="W720" s="226"/>
      <c r="X720" s="226"/>
    </row>
    <row r="721" spans="1:24" ht="14.25" x14ac:dyDescent="0.2">
      <c r="A721" s="226"/>
      <c r="B721" s="226"/>
      <c r="C721" s="226"/>
      <c r="D721" s="226"/>
      <c r="E721" s="226"/>
      <c r="F721" s="226"/>
      <c r="G721" s="226"/>
      <c r="H721" s="226"/>
      <c r="I721" s="226"/>
      <c r="J721" s="226"/>
      <c r="K721" s="226"/>
      <c r="L721" s="226"/>
      <c r="M721" s="226"/>
      <c r="N721" s="226"/>
      <c r="O721" s="226"/>
      <c r="P721" s="226"/>
      <c r="Q721" s="226"/>
      <c r="R721" s="226"/>
      <c r="S721" s="226"/>
      <c r="T721" s="226"/>
      <c r="U721" s="226"/>
      <c r="V721" s="226"/>
      <c r="W721" s="226"/>
      <c r="X721" s="226"/>
    </row>
    <row r="722" spans="1:24" ht="14.25" x14ac:dyDescent="0.2">
      <c r="A722" s="226"/>
      <c r="B722" s="226"/>
      <c r="C722" s="226"/>
      <c r="D722" s="226"/>
      <c r="E722" s="226"/>
      <c r="F722" s="226"/>
      <c r="G722" s="226"/>
      <c r="H722" s="226"/>
      <c r="I722" s="226"/>
      <c r="J722" s="226"/>
      <c r="K722" s="226"/>
      <c r="L722" s="226"/>
      <c r="M722" s="226"/>
      <c r="N722" s="226"/>
      <c r="O722" s="226"/>
      <c r="P722" s="226"/>
      <c r="Q722" s="226"/>
      <c r="R722" s="226"/>
      <c r="S722" s="226"/>
      <c r="T722" s="226"/>
      <c r="U722" s="226"/>
      <c r="V722" s="226"/>
      <c r="W722" s="226"/>
      <c r="X722" s="226"/>
    </row>
    <row r="723" spans="1:24" ht="14.25" x14ac:dyDescent="0.2">
      <c r="A723" s="226"/>
      <c r="B723" s="226"/>
      <c r="C723" s="226"/>
      <c r="D723" s="226"/>
      <c r="E723" s="226"/>
      <c r="F723" s="226"/>
      <c r="G723" s="226"/>
      <c r="H723" s="226"/>
      <c r="I723" s="226"/>
      <c r="J723" s="226"/>
      <c r="K723" s="226"/>
      <c r="L723" s="226"/>
      <c r="M723" s="226"/>
      <c r="N723" s="226"/>
      <c r="O723" s="226"/>
      <c r="P723" s="226"/>
      <c r="Q723" s="226"/>
      <c r="R723" s="226"/>
      <c r="S723" s="226"/>
      <c r="T723" s="226"/>
      <c r="U723" s="226"/>
      <c r="V723" s="226"/>
      <c r="W723" s="226"/>
      <c r="X723" s="226"/>
    </row>
    <row r="724" spans="1:24" ht="14.25" x14ac:dyDescent="0.2">
      <c r="A724" s="226"/>
      <c r="B724" s="226"/>
      <c r="C724" s="226"/>
      <c r="D724" s="226"/>
      <c r="E724" s="226"/>
      <c r="F724" s="226"/>
      <c r="G724" s="226"/>
      <c r="H724" s="226"/>
      <c r="I724" s="226"/>
      <c r="J724" s="226"/>
      <c r="K724" s="226"/>
      <c r="L724" s="226"/>
      <c r="M724" s="226"/>
      <c r="N724" s="226"/>
      <c r="O724" s="226"/>
      <c r="P724" s="226"/>
      <c r="Q724" s="226"/>
      <c r="R724" s="226"/>
      <c r="S724" s="226"/>
      <c r="T724" s="226"/>
      <c r="U724" s="226"/>
      <c r="V724" s="226"/>
      <c r="W724" s="226"/>
      <c r="X724" s="226"/>
    </row>
    <row r="725" spans="1:24" ht="14.25" x14ac:dyDescent="0.2">
      <c r="A725" s="226"/>
      <c r="B725" s="226"/>
      <c r="C725" s="226"/>
      <c r="D725" s="226"/>
      <c r="E725" s="226"/>
      <c r="F725" s="226"/>
      <c r="G725" s="226"/>
      <c r="H725" s="226"/>
      <c r="I725" s="226"/>
      <c r="J725" s="226"/>
      <c r="K725" s="226"/>
      <c r="L725" s="226"/>
      <c r="M725" s="226"/>
      <c r="N725" s="226"/>
      <c r="O725" s="226"/>
      <c r="P725" s="226"/>
      <c r="Q725" s="226"/>
      <c r="R725" s="226"/>
      <c r="S725" s="226"/>
      <c r="T725" s="226"/>
      <c r="U725" s="226"/>
      <c r="V725" s="226"/>
      <c r="W725" s="226"/>
      <c r="X725" s="226"/>
    </row>
    <row r="726" spans="1:24" ht="14.25" x14ac:dyDescent="0.2">
      <c r="A726" s="226"/>
      <c r="B726" s="226"/>
      <c r="C726" s="226"/>
      <c r="D726" s="226"/>
      <c r="E726" s="226"/>
      <c r="F726" s="226"/>
      <c r="G726" s="226"/>
      <c r="H726" s="226"/>
      <c r="I726" s="226"/>
      <c r="J726" s="226"/>
      <c r="K726" s="226"/>
      <c r="L726" s="226"/>
      <c r="M726" s="226"/>
      <c r="N726" s="226"/>
      <c r="O726" s="226"/>
      <c r="P726" s="226"/>
      <c r="Q726" s="226"/>
      <c r="R726" s="226"/>
      <c r="S726" s="226"/>
      <c r="T726" s="226"/>
      <c r="U726" s="226"/>
      <c r="V726" s="226"/>
      <c r="W726" s="226"/>
      <c r="X726" s="226"/>
    </row>
    <row r="727" spans="1:24" ht="14.25" x14ac:dyDescent="0.2">
      <c r="A727" s="226"/>
      <c r="B727" s="226"/>
      <c r="C727" s="226"/>
      <c r="D727" s="226"/>
      <c r="E727" s="226"/>
      <c r="F727" s="226"/>
      <c r="G727" s="226"/>
      <c r="H727" s="226"/>
      <c r="I727" s="226"/>
      <c r="J727" s="226"/>
      <c r="K727" s="226"/>
      <c r="L727" s="226"/>
      <c r="M727" s="226"/>
      <c r="N727" s="226"/>
      <c r="O727" s="226"/>
      <c r="P727" s="226"/>
      <c r="Q727" s="226"/>
      <c r="R727" s="226"/>
      <c r="S727" s="226"/>
      <c r="T727" s="226"/>
      <c r="U727" s="226"/>
      <c r="V727" s="226"/>
      <c r="W727" s="226"/>
      <c r="X727" s="226"/>
    </row>
    <row r="728" spans="1:24" ht="14.25" x14ac:dyDescent="0.2">
      <c r="A728" s="226"/>
      <c r="B728" s="226"/>
      <c r="C728" s="226"/>
      <c r="D728" s="226"/>
      <c r="E728" s="226"/>
      <c r="F728" s="226"/>
      <c r="G728" s="226"/>
      <c r="H728" s="226"/>
      <c r="I728" s="226"/>
      <c r="J728" s="226"/>
      <c r="K728" s="226"/>
      <c r="L728" s="226"/>
      <c r="M728" s="226"/>
      <c r="N728" s="226"/>
      <c r="O728" s="226"/>
      <c r="P728" s="226"/>
      <c r="Q728" s="226"/>
      <c r="R728" s="226"/>
      <c r="S728" s="226"/>
      <c r="T728" s="226"/>
      <c r="U728" s="226"/>
      <c r="V728" s="226"/>
      <c r="W728" s="226"/>
      <c r="X728" s="226"/>
    </row>
    <row r="729" spans="1:24" ht="14.25" x14ac:dyDescent="0.2">
      <c r="A729" s="226"/>
      <c r="B729" s="226"/>
      <c r="C729" s="226"/>
      <c r="D729" s="226"/>
      <c r="E729" s="226"/>
      <c r="F729" s="226"/>
      <c r="G729" s="226"/>
      <c r="H729" s="226"/>
      <c r="I729" s="226"/>
      <c r="J729" s="226"/>
      <c r="K729" s="226"/>
      <c r="L729" s="226"/>
      <c r="M729" s="226"/>
      <c r="N729" s="226"/>
      <c r="O729" s="226"/>
      <c r="P729" s="226"/>
      <c r="Q729" s="226"/>
      <c r="R729" s="226"/>
      <c r="S729" s="226"/>
      <c r="T729" s="226"/>
      <c r="U729" s="226"/>
      <c r="V729" s="226"/>
      <c r="W729" s="226"/>
      <c r="X729" s="226"/>
    </row>
    <row r="730" spans="1:24" ht="14.25" x14ac:dyDescent="0.2">
      <c r="A730" s="226"/>
      <c r="B730" s="226"/>
      <c r="C730" s="226"/>
      <c r="D730" s="226"/>
      <c r="E730" s="226"/>
      <c r="F730" s="226"/>
      <c r="G730" s="226"/>
      <c r="H730" s="226"/>
      <c r="I730" s="226"/>
      <c r="J730" s="226"/>
      <c r="K730" s="226"/>
      <c r="L730" s="226"/>
      <c r="M730" s="226"/>
      <c r="N730" s="226"/>
      <c r="O730" s="226"/>
      <c r="P730" s="226"/>
      <c r="Q730" s="226"/>
      <c r="R730" s="226"/>
      <c r="S730" s="226"/>
      <c r="T730" s="226"/>
      <c r="U730" s="226"/>
      <c r="V730" s="226"/>
      <c r="W730" s="226"/>
      <c r="X730" s="226"/>
    </row>
    <row r="731" spans="1:24" ht="14.25" x14ac:dyDescent="0.2">
      <c r="A731" s="226"/>
      <c r="B731" s="226"/>
      <c r="C731" s="226"/>
      <c r="D731" s="226"/>
      <c r="E731" s="226"/>
      <c r="F731" s="226"/>
      <c r="G731" s="226"/>
      <c r="H731" s="226"/>
      <c r="I731" s="226"/>
      <c r="J731" s="226"/>
      <c r="K731" s="226"/>
      <c r="L731" s="226"/>
      <c r="M731" s="226"/>
      <c r="N731" s="226"/>
      <c r="O731" s="226"/>
      <c r="P731" s="226"/>
      <c r="Q731" s="226"/>
      <c r="R731" s="226"/>
      <c r="S731" s="226"/>
      <c r="T731" s="226"/>
      <c r="U731" s="226"/>
      <c r="V731" s="226"/>
      <c r="W731" s="226"/>
      <c r="X731" s="226"/>
    </row>
    <row r="732" spans="1:24" ht="14.25" x14ac:dyDescent="0.2">
      <c r="A732" s="226"/>
      <c r="B732" s="226"/>
      <c r="C732" s="226"/>
      <c r="D732" s="226"/>
      <c r="E732" s="226"/>
      <c r="F732" s="226"/>
      <c r="G732" s="226"/>
      <c r="H732" s="226"/>
      <c r="I732" s="226"/>
      <c r="J732" s="226"/>
      <c r="K732" s="226"/>
      <c r="L732" s="226"/>
      <c r="M732" s="226"/>
      <c r="N732" s="226"/>
      <c r="O732" s="226"/>
      <c r="P732" s="226"/>
      <c r="Q732" s="226"/>
      <c r="R732" s="226"/>
      <c r="S732" s="226"/>
      <c r="T732" s="226"/>
      <c r="U732" s="226"/>
      <c r="V732" s="226"/>
      <c r="W732" s="226"/>
      <c r="X732" s="226"/>
    </row>
    <row r="733" spans="1:24" ht="14.25" x14ac:dyDescent="0.2">
      <c r="A733" s="226"/>
      <c r="B733" s="226"/>
      <c r="C733" s="226"/>
      <c r="D733" s="226"/>
      <c r="E733" s="226"/>
      <c r="F733" s="226"/>
      <c r="G733" s="226"/>
      <c r="H733" s="226"/>
      <c r="I733" s="226"/>
      <c r="J733" s="226"/>
      <c r="K733" s="226"/>
      <c r="L733" s="226"/>
      <c r="M733" s="226"/>
      <c r="N733" s="226"/>
      <c r="O733" s="226"/>
      <c r="P733" s="226"/>
      <c r="Q733" s="226"/>
      <c r="R733" s="226"/>
      <c r="S733" s="226"/>
      <c r="T733" s="226"/>
      <c r="U733" s="226"/>
      <c r="V733" s="226"/>
      <c r="W733" s="226"/>
      <c r="X733" s="226"/>
    </row>
    <row r="734" spans="1:24" ht="14.25" x14ac:dyDescent="0.2">
      <c r="A734" s="226"/>
      <c r="B734" s="226"/>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row>
    <row r="735" spans="1:24" ht="14.25" x14ac:dyDescent="0.2">
      <c r="A735" s="226"/>
      <c r="B735" s="226"/>
      <c r="C735" s="226"/>
      <c r="D735" s="226"/>
      <c r="E735" s="226"/>
      <c r="F735" s="226"/>
      <c r="G735" s="226"/>
      <c r="H735" s="226"/>
      <c r="I735" s="226"/>
      <c r="J735" s="226"/>
      <c r="K735" s="226"/>
      <c r="L735" s="226"/>
      <c r="M735" s="226"/>
      <c r="N735" s="226"/>
      <c r="O735" s="226"/>
      <c r="P735" s="226"/>
      <c r="Q735" s="226"/>
      <c r="R735" s="226"/>
      <c r="S735" s="226"/>
      <c r="T735" s="226"/>
      <c r="U735" s="226"/>
      <c r="V735" s="226"/>
      <c r="W735" s="226"/>
      <c r="X735" s="226"/>
    </row>
    <row r="736" spans="1:24" ht="14.25" x14ac:dyDescent="0.2">
      <c r="A736" s="226"/>
      <c r="B736" s="226"/>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row>
    <row r="737" spans="1:24" ht="14.25" x14ac:dyDescent="0.2">
      <c r="A737" s="226"/>
      <c r="B737" s="226"/>
      <c r="C737" s="226"/>
      <c r="D737" s="226"/>
      <c r="E737" s="226"/>
      <c r="F737" s="226"/>
      <c r="G737" s="226"/>
      <c r="H737" s="226"/>
      <c r="I737" s="226"/>
      <c r="J737" s="226"/>
      <c r="K737" s="226"/>
      <c r="L737" s="226"/>
      <c r="M737" s="226"/>
      <c r="N737" s="226"/>
      <c r="O737" s="226"/>
      <c r="P737" s="226"/>
      <c r="Q737" s="226"/>
      <c r="R737" s="226"/>
      <c r="S737" s="226"/>
      <c r="T737" s="226"/>
      <c r="U737" s="226"/>
      <c r="V737" s="226"/>
      <c r="W737" s="226"/>
      <c r="X737" s="226"/>
    </row>
    <row r="738" spans="1:24" ht="14.25" x14ac:dyDescent="0.2">
      <c r="A738" s="226"/>
      <c r="B738" s="226"/>
      <c r="C738" s="226"/>
      <c r="D738" s="226"/>
      <c r="E738" s="226"/>
      <c r="F738" s="226"/>
      <c r="G738" s="226"/>
      <c r="H738" s="226"/>
      <c r="I738" s="226"/>
      <c r="J738" s="226"/>
      <c r="K738" s="226"/>
      <c r="L738" s="226"/>
      <c r="M738" s="226"/>
      <c r="N738" s="226"/>
      <c r="O738" s="226"/>
      <c r="P738" s="226"/>
      <c r="Q738" s="226"/>
      <c r="R738" s="226"/>
      <c r="S738" s="226"/>
      <c r="T738" s="226"/>
      <c r="U738" s="226"/>
      <c r="V738" s="226"/>
      <c r="W738" s="226"/>
      <c r="X738" s="226"/>
    </row>
    <row r="739" spans="1:24" ht="14.25" x14ac:dyDescent="0.2">
      <c r="A739" s="226"/>
      <c r="B739" s="226"/>
      <c r="C739" s="226"/>
      <c r="D739" s="226"/>
      <c r="E739" s="226"/>
      <c r="F739" s="226"/>
      <c r="G739" s="226"/>
      <c r="H739" s="226"/>
      <c r="I739" s="226"/>
      <c r="J739" s="226"/>
      <c r="K739" s="226"/>
      <c r="L739" s="226"/>
      <c r="M739" s="226"/>
      <c r="N739" s="226"/>
      <c r="O739" s="226"/>
      <c r="P739" s="226"/>
      <c r="Q739" s="226"/>
      <c r="R739" s="226"/>
      <c r="S739" s="226"/>
      <c r="T739" s="226"/>
      <c r="U739" s="226"/>
      <c r="V739" s="226"/>
      <c r="W739" s="226"/>
      <c r="X739" s="226"/>
    </row>
    <row r="740" spans="1:24" ht="14.25" x14ac:dyDescent="0.2">
      <c r="A740" s="226"/>
      <c r="B740" s="226"/>
      <c r="C740" s="226"/>
      <c r="D740" s="226"/>
      <c r="E740" s="226"/>
      <c r="F740" s="226"/>
      <c r="G740" s="226"/>
      <c r="H740" s="226"/>
      <c r="I740" s="226"/>
      <c r="J740" s="226"/>
      <c r="K740" s="226"/>
      <c r="L740" s="226"/>
      <c r="M740" s="226"/>
      <c r="N740" s="226"/>
      <c r="O740" s="226"/>
      <c r="P740" s="226"/>
      <c r="Q740" s="226"/>
      <c r="R740" s="226"/>
      <c r="S740" s="226"/>
      <c r="T740" s="226"/>
      <c r="U740" s="226"/>
      <c r="V740" s="226"/>
      <c r="W740" s="226"/>
      <c r="X740" s="226"/>
    </row>
    <row r="741" spans="1:24" ht="14.25" x14ac:dyDescent="0.2">
      <c r="A741" s="226"/>
      <c r="B741" s="226"/>
      <c r="C741" s="226"/>
      <c r="D741" s="226"/>
      <c r="E741" s="226"/>
      <c r="F741" s="226"/>
      <c r="G741" s="226"/>
      <c r="H741" s="226"/>
      <c r="I741" s="226"/>
      <c r="J741" s="226"/>
      <c r="K741" s="226"/>
      <c r="L741" s="226"/>
      <c r="M741" s="226"/>
      <c r="N741" s="226"/>
      <c r="O741" s="226"/>
      <c r="P741" s="226"/>
      <c r="Q741" s="226"/>
      <c r="R741" s="226"/>
      <c r="S741" s="226"/>
      <c r="T741" s="226"/>
      <c r="U741" s="226"/>
      <c r="V741" s="226"/>
      <c r="W741" s="226"/>
      <c r="X741" s="226"/>
    </row>
    <row r="742" spans="1:24" ht="14.25" x14ac:dyDescent="0.2">
      <c r="A742" s="226"/>
      <c r="B742" s="226"/>
      <c r="C742" s="226"/>
      <c r="D742" s="226"/>
      <c r="E742" s="226"/>
      <c r="F742" s="226"/>
      <c r="G742" s="226"/>
      <c r="H742" s="226"/>
      <c r="I742" s="226"/>
      <c r="J742" s="226"/>
      <c r="K742" s="226"/>
      <c r="L742" s="226"/>
      <c r="M742" s="226"/>
      <c r="N742" s="226"/>
      <c r="O742" s="226"/>
      <c r="P742" s="226"/>
      <c r="Q742" s="226"/>
      <c r="R742" s="226"/>
      <c r="S742" s="226"/>
      <c r="T742" s="226"/>
      <c r="U742" s="226"/>
      <c r="V742" s="226"/>
      <c r="W742" s="226"/>
      <c r="X742" s="226"/>
    </row>
    <row r="743" spans="1:24" ht="14.25" x14ac:dyDescent="0.2">
      <c r="A743" s="226"/>
      <c r="B743" s="226"/>
      <c r="C743" s="226"/>
      <c r="D743" s="226"/>
      <c r="E743" s="226"/>
      <c r="F743" s="226"/>
      <c r="G743" s="226"/>
      <c r="H743" s="226"/>
      <c r="I743" s="226"/>
      <c r="J743" s="226"/>
      <c r="K743" s="226"/>
      <c r="L743" s="226"/>
      <c r="M743" s="226"/>
      <c r="N743" s="226"/>
      <c r="O743" s="226"/>
      <c r="P743" s="226"/>
      <c r="Q743" s="226"/>
      <c r="R743" s="226"/>
      <c r="S743" s="226"/>
      <c r="T743" s="226"/>
      <c r="U743" s="226"/>
      <c r="V743" s="226"/>
      <c r="W743" s="226"/>
      <c r="X743" s="226"/>
    </row>
    <row r="744" spans="1:24" ht="14.25" x14ac:dyDescent="0.2">
      <c r="A744" s="226"/>
      <c r="B744" s="226"/>
      <c r="C744" s="226"/>
      <c r="D744" s="226"/>
      <c r="E744" s="226"/>
      <c r="F744" s="226"/>
      <c r="G744" s="226"/>
      <c r="H744" s="226"/>
      <c r="I744" s="226"/>
      <c r="J744" s="226"/>
      <c r="K744" s="226"/>
      <c r="L744" s="226"/>
      <c r="M744" s="226"/>
      <c r="N744" s="226"/>
      <c r="O744" s="226"/>
      <c r="P744" s="226"/>
      <c r="Q744" s="226"/>
      <c r="R744" s="226"/>
      <c r="S744" s="226"/>
      <c r="T744" s="226"/>
      <c r="U744" s="226"/>
      <c r="V744" s="226"/>
      <c r="W744" s="226"/>
      <c r="X744" s="226"/>
    </row>
    <row r="745" spans="1:24" ht="14.25" x14ac:dyDescent="0.2">
      <c r="A745" s="226"/>
      <c r="B745" s="226"/>
      <c r="C745" s="226"/>
      <c r="D745" s="226"/>
      <c r="E745" s="226"/>
      <c r="F745" s="226"/>
      <c r="G745" s="226"/>
      <c r="H745" s="226"/>
      <c r="I745" s="226"/>
      <c r="J745" s="226"/>
      <c r="K745" s="226"/>
      <c r="L745" s="226"/>
      <c r="M745" s="226"/>
      <c r="N745" s="226"/>
      <c r="O745" s="226"/>
      <c r="P745" s="226"/>
      <c r="Q745" s="226"/>
      <c r="R745" s="226"/>
      <c r="S745" s="226"/>
      <c r="T745" s="226"/>
      <c r="U745" s="226"/>
      <c r="V745" s="226"/>
      <c r="W745" s="226"/>
      <c r="X745" s="226"/>
    </row>
    <row r="746" spans="1:24" ht="14.25" x14ac:dyDescent="0.2">
      <c r="A746" s="226"/>
      <c r="B746" s="226"/>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row>
    <row r="747" spans="1:24" ht="14.25" x14ac:dyDescent="0.2">
      <c r="A747" s="226"/>
      <c r="B747" s="226"/>
      <c r="C747" s="226"/>
      <c r="D747" s="226"/>
      <c r="E747" s="226"/>
      <c r="F747" s="226"/>
      <c r="G747" s="226"/>
      <c r="H747" s="226"/>
      <c r="I747" s="226"/>
      <c r="J747" s="226"/>
      <c r="K747" s="226"/>
      <c r="L747" s="226"/>
      <c r="M747" s="226"/>
      <c r="N747" s="226"/>
      <c r="O747" s="226"/>
      <c r="P747" s="226"/>
      <c r="Q747" s="226"/>
      <c r="R747" s="226"/>
      <c r="S747" s="226"/>
      <c r="T747" s="226"/>
      <c r="U747" s="226"/>
      <c r="V747" s="226"/>
      <c r="W747" s="226"/>
      <c r="X747" s="226"/>
    </row>
    <row r="748" spans="1:24" ht="14.25" x14ac:dyDescent="0.2">
      <c r="A748" s="226"/>
      <c r="B748" s="226"/>
      <c r="C748" s="226"/>
      <c r="D748" s="226"/>
      <c r="E748" s="226"/>
      <c r="F748" s="226"/>
      <c r="G748" s="226"/>
      <c r="H748" s="226"/>
      <c r="I748" s="226"/>
      <c r="J748" s="226"/>
      <c r="K748" s="226"/>
      <c r="L748" s="226"/>
      <c r="M748" s="226"/>
      <c r="N748" s="226"/>
      <c r="O748" s="226"/>
      <c r="P748" s="226"/>
      <c r="Q748" s="226"/>
      <c r="R748" s="226"/>
      <c r="S748" s="226"/>
      <c r="T748" s="226"/>
      <c r="U748" s="226"/>
      <c r="V748" s="226"/>
      <c r="W748" s="226"/>
      <c r="X748" s="226"/>
    </row>
    <row r="749" spans="1:24" ht="14.25" x14ac:dyDescent="0.2">
      <c r="A749" s="226"/>
      <c r="B749" s="226"/>
      <c r="C749" s="226"/>
      <c r="D749" s="226"/>
      <c r="E749" s="226"/>
      <c r="F749" s="226"/>
      <c r="G749" s="226"/>
      <c r="H749" s="226"/>
      <c r="I749" s="226"/>
      <c r="J749" s="226"/>
      <c r="K749" s="226"/>
      <c r="L749" s="226"/>
      <c r="M749" s="226"/>
      <c r="N749" s="226"/>
      <c r="O749" s="226"/>
      <c r="P749" s="226"/>
      <c r="Q749" s="226"/>
      <c r="R749" s="226"/>
      <c r="S749" s="226"/>
      <c r="T749" s="226"/>
      <c r="U749" s="226"/>
      <c r="V749" s="226"/>
      <c r="W749" s="226"/>
      <c r="X749" s="226"/>
    </row>
    <row r="750" spans="1:24" ht="14.25" x14ac:dyDescent="0.2">
      <c r="A750" s="226"/>
      <c r="B750" s="226"/>
      <c r="C750" s="226"/>
      <c r="D750" s="226"/>
      <c r="E750" s="226"/>
      <c r="F750" s="226"/>
      <c r="G750" s="226"/>
      <c r="H750" s="226"/>
      <c r="I750" s="226"/>
      <c r="J750" s="226"/>
      <c r="K750" s="226"/>
      <c r="L750" s="226"/>
      <c r="M750" s="226"/>
      <c r="N750" s="226"/>
      <c r="O750" s="226"/>
      <c r="P750" s="226"/>
      <c r="Q750" s="226"/>
      <c r="R750" s="226"/>
      <c r="S750" s="226"/>
      <c r="T750" s="226"/>
      <c r="U750" s="226"/>
      <c r="V750" s="226"/>
      <c r="W750" s="226"/>
      <c r="X750" s="226"/>
    </row>
    <row r="751" spans="1:24" ht="14.25" x14ac:dyDescent="0.2">
      <c r="A751" s="226"/>
      <c r="B751" s="226"/>
      <c r="C751" s="226"/>
      <c r="D751" s="226"/>
      <c r="E751" s="226"/>
      <c r="F751" s="226"/>
      <c r="G751" s="226"/>
      <c r="H751" s="226"/>
      <c r="I751" s="226"/>
      <c r="J751" s="226"/>
      <c r="K751" s="226"/>
      <c r="L751" s="226"/>
      <c r="M751" s="226"/>
      <c r="N751" s="226"/>
      <c r="O751" s="226"/>
      <c r="P751" s="226"/>
      <c r="Q751" s="226"/>
      <c r="R751" s="226"/>
      <c r="S751" s="226"/>
      <c r="T751" s="226"/>
      <c r="U751" s="226"/>
      <c r="V751" s="226"/>
      <c r="W751" s="226"/>
      <c r="X751" s="226"/>
    </row>
    <row r="752" spans="1:24" ht="14.25" x14ac:dyDescent="0.2">
      <c r="A752" s="226"/>
      <c r="B752" s="226"/>
      <c r="C752" s="226"/>
      <c r="D752" s="226"/>
      <c r="E752" s="226"/>
      <c r="F752" s="226"/>
      <c r="G752" s="226"/>
      <c r="H752" s="226"/>
      <c r="I752" s="226"/>
      <c r="J752" s="226"/>
      <c r="K752" s="226"/>
      <c r="L752" s="226"/>
      <c r="M752" s="226"/>
      <c r="N752" s="226"/>
      <c r="O752" s="226"/>
      <c r="P752" s="226"/>
      <c r="Q752" s="226"/>
      <c r="R752" s="226"/>
      <c r="S752" s="226"/>
      <c r="T752" s="226"/>
      <c r="U752" s="226"/>
      <c r="V752" s="226"/>
      <c r="W752" s="226"/>
      <c r="X752" s="226"/>
    </row>
    <row r="753" spans="1:24" ht="14.25" x14ac:dyDescent="0.2">
      <c r="A753" s="226"/>
      <c r="B753" s="226"/>
      <c r="C753" s="226"/>
      <c r="D753" s="226"/>
      <c r="E753" s="226"/>
      <c r="F753" s="226"/>
      <c r="G753" s="226"/>
      <c r="H753" s="226"/>
      <c r="I753" s="226"/>
      <c r="J753" s="226"/>
      <c r="K753" s="226"/>
      <c r="L753" s="226"/>
      <c r="M753" s="226"/>
      <c r="N753" s="226"/>
      <c r="O753" s="226"/>
      <c r="P753" s="226"/>
      <c r="Q753" s="226"/>
      <c r="R753" s="226"/>
      <c r="S753" s="226"/>
      <c r="T753" s="226"/>
      <c r="U753" s="226"/>
      <c r="V753" s="226"/>
      <c r="W753" s="226"/>
      <c r="X753" s="226"/>
    </row>
    <row r="754" spans="1:24" ht="14.25" x14ac:dyDescent="0.2">
      <c r="A754" s="226"/>
      <c r="B754" s="226"/>
      <c r="C754" s="226"/>
      <c r="D754" s="226"/>
      <c r="E754" s="226"/>
      <c r="F754" s="226"/>
      <c r="G754" s="226"/>
      <c r="H754" s="226"/>
      <c r="I754" s="226"/>
      <c r="J754" s="226"/>
      <c r="K754" s="226"/>
      <c r="L754" s="226"/>
      <c r="M754" s="226"/>
      <c r="N754" s="226"/>
      <c r="O754" s="226"/>
      <c r="P754" s="226"/>
      <c r="Q754" s="226"/>
      <c r="R754" s="226"/>
      <c r="S754" s="226"/>
      <c r="T754" s="226"/>
      <c r="U754" s="226"/>
      <c r="V754" s="226"/>
      <c r="W754" s="226"/>
      <c r="X754" s="226"/>
    </row>
    <row r="755" spans="1:24" ht="14.25" x14ac:dyDescent="0.2">
      <c r="A755" s="226"/>
      <c r="B755" s="226"/>
      <c r="C755" s="226"/>
      <c r="D755" s="226"/>
      <c r="E755" s="226"/>
      <c r="F755" s="226"/>
      <c r="G755" s="226"/>
      <c r="H755" s="226"/>
      <c r="I755" s="226"/>
      <c r="J755" s="226"/>
      <c r="K755" s="226"/>
      <c r="L755" s="226"/>
      <c r="M755" s="226"/>
      <c r="N755" s="226"/>
      <c r="O755" s="226"/>
      <c r="P755" s="226"/>
      <c r="Q755" s="226"/>
      <c r="R755" s="226"/>
      <c r="S755" s="226"/>
      <c r="T755" s="226"/>
      <c r="U755" s="226"/>
      <c r="V755" s="226"/>
      <c r="W755" s="226"/>
      <c r="X755" s="226"/>
    </row>
    <row r="756" spans="1:24" ht="14.25" x14ac:dyDescent="0.2">
      <c r="A756" s="226"/>
      <c r="B756" s="226"/>
      <c r="C756" s="226"/>
      <c r="D756" s="226"/>
      <c r="E756" s="226"/>
      <c r="F756" s="226"/>
      <c r="G756" s="226"/>
      <c r="H756" s="226"/>
      <c r="I756" s="226"/>
      <c r="J756" s="226"/>
      <c r="K756" s="226"/>
      <c r="L756" s="226"/>
      <c r="M756" s="226"/>
      <c r="N756" s="226"/>
      <c r="O756" s="226"/>
      <c r="P756" s="226"/>
      <c r="Q756" s="226"/>
      <c r="R756" s="226"/>
      <c r="S756" s="226"/>
      <c r="T756" s="226"/>
      <c r="U756" s="226"/>
      <c r="V756" s="226"/>
      <c r="W756" s="226"/>
      <c r="X756" s="226"/>
    </row>
    <row r="757" spans="1:24" ht="14.25" x14ac:dyDescent="0.2">
      <c r="A757" s="226"/>
      <c r="B757" s="226"/>
      <c r="C757" s="226"/>
      <c r="D757" s="226"/>
      <c r="E757" s="226"/>
      <c r="F757" s="226"/>
      <c r="G757" s="226"/>
      <c r="H757" s="226"/>
      <c r="I757" s="226"/>
      <c r="J757" s="226"/>
      <c r="K757" s="226"/>
      <c r="L757" s="226"/>
      <c r="M757" s="226"/>
      <c r="N757" s="226"/>
      <c r="O757" s="226"/>
      <c r="P757" s="226"/>
      <c r="Q757" s="226"/>
      <c r="R757" s="226"/>
      <c r="S757" s="226"/>
      <c r="T757" s="226"/>
      <c r="U757" s="226"/>
      <c r="V757" s="226"/>
      <c r="W757" s="226"/>
      <c r="X757" s="226"/>
    </row>
    <row r="758" spans="1:24" ht="14.25" x14ac:dyDescent="0.2">
      <c r="A758" s="226"/>
      <c r="B758" s="226"/>
      <c r="C758" s="226"/>
      <c r="D758" s="226"/>
      <c r="E758" s="226"/>
      <c r="F758" s="226"/>
      <c r="G758" s="226"/>
      <c r="H758" s="226"/>
      <c r="I758" s="226"/>
      <c r="J758" s="226"/>
      <c r="K758" s="226"/>
      <c r="L758" s="226"/>
      <c r="M758" s="226"/>
      <c r="N758" s="226"/>
      <c r="O758" s="226"/>
      <c r="P758" s="226"/>
      <c r="Q758" s="226"/>
      <c r="R758" s="226"/>
      <c r="S758" s="226"/>
      <c r="T758" s="226"/>
      <c r="U758" s="226"/>
      <c r="V758" s="226"/>
      <c r="W758" s="226"/>
      <c r="X758" s="226"/>
    </row>
    <row r="759" spans="1:24" ht="14.25" x14ac:dyDescent="0.2">
      <c r="A759" s="226"/>
      <c r="B759" s="226"/>
      <c r="C759" s="226"/>
      <c r="D759" s="226"/>
      <c r="E759" s="226"/>
      <c r="F759" s="226"/>
      <c r="G759" s="226"/>
      <c r="H759" s="226"/>
      <c r="I759" s="226"/>
      <c r="J759" s="226"/>
      <c r="K759" s="226"/>
      <c r="L759" s="226"/>
      <c r="M759" s="226"/>
      <c r="N759" s="226"/>
      <c r="O759" s="226"/>
      <c r="P759" s="226"/>
      <c r="Q759" s="226"/>
      <c r="R759" s="226"/>
      <c r="S759" s="226"/>
      <c r="T759" s="226"/>
      <c r="U759" s="226"/>
      <c r="V759" s="226"/>
      <c r="W759" s="226"/>
      <c r="X759" s="226"/>
    </row>
    <row r="760" spans="1:24" ht="14.25" x14ac:dyDescent="0.2">
      <c r="A760" s="226"/>
      <c r="B760" s="226"/>
      <c r="C760" s="226"/>
      <c r="D760" s="226"/>
      <c r="E760" s="226"/>
      <c r="F760" s="226"/>
      <c r="G760" s="226"/>
      <c r="H760" s="226"/>
      <c r="I760" s="226"/>
      <c r="J760" s="226"/>
      <c r="K760" s="226"/>
      <c r="L760" s="226"/>
      <c r="M760" s="226"/>
      <c r="N760" s="226"/>
      <c r="O760" s="226"/>
      <c r="P760" s="226"/>
      <c r="Q760" s="226"/>
      <c r="R760" s="226"/>
      <c r="S760" s="226"/>
      <c r="T760" s="226"/>
      <c r="U760" s="226"/>
      <c r="V760" s="226"/>
      <c r="W760" s="226"/>
      <c r="X760" s="226"/>
    </row>
    <row r="761" spans="1:24" ht="14.25" x14ac:dyDescent="0.2">
      <c r="A761" s="226"/>
      <c r="B761" s="226"/>
      <c r="C761" s="226"/>
      <c r="D761" s="226"/>
      <c r="E761" s="226"/>
      <c r="F761" s="226"/>
      <c r="G761" s="226"/>
      <c r="H761" s="226"/>
      <c r="I761" s="226"/>
      <c r="J761" s="226"/>
      <c r="K761" s="226"/>
      <c r="L761" s="226"/>
      <c r="M761" s="226"/>
      <c r="N761" s="226"/>
      <c r="O761" s="226"/>
      <c r="P761" s="226"/>
      <c r="Q761" s="226"/>
      <c r="R761" s="226"/>
      <c r="S761" s="226"/>
      <c r="T761" s="226"/>
      <c r="U761" s="226"/>
      <c r="V761" s="226"/>
      <c r="W761" s="226"/>
      <c r="X761" s="226"/>
    </row>
    <row r="762" spans="1:24" ht="14.25" x14ac:dyDescent="0.2">
      <c r="A762" s="226"/>
      <c r="B762" s="226"/>
      <c r="C762" s="226"/>
      <c r="D762" s="226"/>
      <c r="E762" s="226"/>
      <c r="F762" s="226"/>
      <c r="G762" s="226"/>
      <c r="H762" s="226"/>
      <c r="I762" s="226"/>
      <c r="J762" s="226"/>
      <c r="K762" s="226"/>
      <c r="L762" s="226"/>
      <c r="M762" s="226"/>
      <c r="N762" s="226"/>
      <c r="O762" s="226"/>
      <c r="P762" s="226"/>
      <c r="Q762" s="226"/>
      <c r="R762" s="226"/>
      <c r="S762" s="226"/>
      <c r="T762" s="226"/>
      <c r="U762" s="226"/>
      <c r="V762" s="226"/>
      <c r="W762" s="226"/>
      <c r="X762" s="226"/>
    </row>
    <row r="763" spans="1:24" ht="14.25" x14ac:dyDescent="0.2">
      <c r="A763" s="226"/>
      <c r="B763" s="226"/>
      <c r="C763" s="226"/>
      <c r="D763" s="226"/>
      <c r="E763" s="226"/>
      <c r="F763" s="226"/>
      <c r="G763" s="226"/>
      <c r="H763" s="226"/>
      <c r="I763" s="226"/>
      <c r="J763" s="226"/>
      <c r="K763" s="226"/>
      <c r="L763" s="226"/>
      <c r="M763" s="226"/>
      <c r="N763" s="226"/>
      <c r="O763" s="226"/>
      <c r="P763" s="226"/>
      <c r="Q763" s="226"/>
      <c r="R763" s="226"/>
      <c r="S763" s="226"/>
      <c r="T763" s="226"/>
      <c r="U763" s="226"/>
      <c r="V763" s="226"/>
      <c r="W763" s="226"/>
      <c r="X763" s="226"/>
    </row>
    <row r="764" spans="1:24" ht="14.25" x14ac:dyDescent="0.2">
      <c r="A764" s="226"/>
      <c r="B764" s="226"/>
      <c r="C764" s="226"/>
      <c r="D764" s="226"/>
      <c r="E764" s="226"/>
      <c r="F764" s="226"/>
      <c r="G764" s="226"/>
      <c r="H764" s="226"/>
      <c r="I764" s="226"/>
      <c r="J764" s="226"/>
      <c r="K764" s="226"/>
      <c r="L764" s="226"/>
      <c r="M764" s="226"/>
      <c r="N764" s="226"/>
      <c r="O764" s="226"/>
      <c r="P764" s="226"/>
      <c r="Q764" s="226"/>
      <c r="R764" s="226"/>
      <c r="S764" s="226"/>
      <c r="T764" s="226"/>
      <c r="U764" s="226"/>
      <c r="V764" s="226"/>
      <c r="W764" s="226"/>
      <c r="X764" s="226"/>
    </row>
    <row r="765" spans="1:24" ht="14.25" x14ac:dyDescent="0.2">
      <c r="A765" s="226"/>
      <c r="B765" s="226"/>
      <c r="C765" s="226"/>
      <c r="D765" s="226"/>
      <c r="E765" s="226"/>
      <c r="F765" s="226"/>
      <c r="G765" s="226"/>
      <c r="H765" s="226"/>
      <c r="I765" s="226"/>
      <c r="J765" s="226"/>
      <c r="K765" s="226"/>
      <c r="L765" s="226"/>
      <c r="M765" s="226"/>
      <c r="N765" s="226"/>
      <c r="O765" s="226"/>
      <c r="P765" s="226"/>
      <c r="Q765" s="226"/>
      <c r="R765" s="226"/>
      <c r="S765" s="226"/>
      <c r="T765" s="226"/>
      <c r="U765" s="226"/>
      <c r="V765" s="226"/>
      <c r="W765" s="226"/>
      <c r="X765" s="226"/>
    </row>
    <row r="766" spans="1:24" ht="14.25" x14ac:dyDescent="0.2">
      <c r="A766" s="226"/>
      <c r="B766" s="226"/>
      <c r="C766" s="226"/>
      <c r="D766" s="226"/>
      <c r="E766" s="226"/>
      <c r="F766" s="226"/>
      <c r="G766" s="226"/>
      <c r="H766" s="226"/>
      <c r="I766" s="226"/>
      <c r="J766" s="226"/>
      <c r="K766" s="226"/>
      <c r="L766" s="226"/>
      <c r="M766" s="226"/>
      <c r="N766" s="226"/>
      <c r="O766" s="226"/>
      <c r="P766" s="226"/>
      <c r="Q766" s="226"/>
      <c r="R766" s="226"/>
      <c r="S766" s="226"/>
      <c r="T766" s="226"/>
      <c r="U766" s="226"/>
      <c r="V766" s="226"/>
      <c r="W766" s="226"/>
      <c r="X766" s="226"/>
    </row>
    <row r="767" spans="1:24" ht="14.25" x14ac:dyDescent="0.2">
      <c r="A767" s="226"/>
      <c r="B767" s="226"/>
      <c r="C767" s="226"/>
      <c r="D767" s="226"/>
      <c r="E767" s="226"/>
      <c r="F767" s="226"/>
      <c r="G767" s="226"/>
      <c r="H767" s="226"/>
      <c r="I767" s="226"/>
      <c r="J767" s="226"/>
      <c r="K767" s="226"/>
      <c r="L767" s="226"/>
      <c r="M767" s="226"/>
      <c r="N767" s="226"/>
      <c r="O767" s="226"/>
      <c r="P767" s="226"/>
      <c r="Q767" s="226"/>
      <c r="R767" s="226"/>
      <c r="S767" s="226"/>
      <c r="T767" s="226"/>
      <c r="U767" s="226"/>
      <c r="V767" s="226"/>
      <c r="W767" s="226"/>
      <c r="X767" s="226"/>
    </row>
    <row r="768" spans="1:24" ht="14.25" x14ac:dyDescent="0.2">
      <c r="A768" s="226"/>
      <c r="B768" s="226"/>
      <c r="C768" s="226"/>
      <c r="D768" s="226"/>
      <c r="E768" s="226"/>
      <c r="F768" s="226"/>
      <c r="G768" s="226"/>
      <c r="H768" s="226"/>
      <c r="I768" s="226"/>
      <c r="J768" s="226"/>
      <c r="K768" s="226"/>
      <c r="L768" s="226"/>
      <c r="M768" s="226"/>
      <c r="N768" s="226"/>
      <c r="O768" s="226"/>
      <c r="P768" s="226"/>
      <c r="Q768" s="226"/>
      <c r="R768" s="226"/>
      <c r="S768" s="226"/>
      <c r="T768" s="226"/>
      <c r="U768" s="226"/>
      <c r="V768" s="226"/>
      <c r="W768" s="226"/>
      <c r="X768" s="226"/>
    </row>
    <row r="769" spans="1:24" ht="14.25" x14ac:dyDescent="0.2">
      <c r="A769" s="226"/>
      <c r="B769" s="226"/>
      <c r="C769" s="226"/>
      <c r="D769" s="226"/>
      <c r="E769" s="226"/>
      <c r="F769" s="226"/>
      <c r="G769" s="226"/>
      <c r="H769" s="226"/>
      <c r="I769" s="226"/>
      <c r="J769" s="226"/>
      <c r="K769" s="226"/>
      <c r="L769" s="226"/>
      <c r="M769" s="226"/>
      <c r="N769" s="226"/>
      <c r="O769" s="226"/>
      <c r="P769" s="226"/>
      <c r="Q769" s="226"/>
      <c r="R769" s="226"/>
      <c r="S769" s="226"/>
      <c r="T769" s="226"/>
      <c r="U769" s="226"/>
      <c r="V769" s="226"/>
      <c r="W769" s="226"/>
      <c r="X769" s="226"/>
    </row>
    <row r="770" spans="1:24" ht="14.25" x14ac:dyDescent="0.2">
      <c r="A770" s="226"/>
      <c r="B770" s="226"/>
      <c r="C770" s="226"/>
      <c r="D770" s="226"/>
      <c r="E770" s="226"/>
      <c r="F770" s="226"/>
      <c r="G770" s="226"/>
      <c r="H770" s="226"/>
      <c r="I770" s="226"/>
      <c r="J770" s="226"/>
      <c r="K770" s="226"/>
      <c r="L770" s="226"/>
      <c r="M770" s="226"/>
      <c r="N770" s="226"/>
      <c r="O770" s="226"/>
      <c r="P770" s="226"/>
      <c r="Q770" s="226"/>
      <c r="R770" s="226"/>
      <c r="S770" s="226"/>
      <c r="T770" s="226"/>
      <c r="U770" s="226"/>
      <c r="V770" s="226"/>
      <c r="W770" s="226"/>
      <c r="X770" s="226"/>
    </row>
    <row r="771" spans="1:24" ht="14.25" x14ac:dyDescent="0.2">
      <c r="A771" s="226"/>
      <c r="B771" s="226"/>
      <c r="C771" s="226"/>
      <c r="D771" s="226"/>
      <c r="E771" s="226"/>
      <c r="F771" s="226"/>
      <c r="G771" s="226"/>
      <c r="H771" s="226"/>
      <c r="I771" s="226"/>
      <c r="J771" s="226"/>
      <c r="K771" s="226"/>
      <c r="L771" s="226"/>
      <c r="M771" s="226"/>
      <c r="N771" s="226"/>
      <c r="O771" s="226"/>
      <c r="P771" s="226"/>
      <c r="Q771" s="226"/>
      <c r="R771" s="226"/>
      <c r="S771" s="226"/>
      <c r="T771" s="226"/>
      <c r="U771" s="226"/>
      <c r="V771" s="226"/>
      <c r="W771" s="226"/>
      <c r="X771" s="226"/>
    </row>
    <row r="772" spans="1:24" ht="14.25" x14ac:dyDescent="0.2">
      <c r="A772" s="226"/>
      <c r="B772" s="226"/>
      <c r="C772" s="226"/>
      <c r="D772" s="226"/>
      <c r="E772" s="226"/>
      <c r="F772" s="226"/>
      <c r="G772" s="226"/>
      <c r="H772" s="226"/>
      <c r="I772" s="226"/>
      <c r="J772" s="226"/>
      <c r="K772" s="226"/>
      <c r="L772" s="226"/>
      <c r="M772" s="226"/>
      <c r="N772" s="226"/>
      <c r="O772" s="226"/>
      <c r="P772" s="226"/>
      <c r="Q772" s="226"/>
      <c r="R772" s="226"/>
      <c r="S772" s="226"/>
      <c r="T772" s="226"/>
      <c r="U772" s="226"/>
      <c r="V772" s="226"/>
      <c r="W772" s="226"/>
      <c r="X772" s="226"/>
    </row>
    <row r="773" spans="1:24" ht="14.25" x14ac:dyDescent="0.2">
      <c r="A773" s="226"/>
      <c r="B773" s="226"/>
      <c r="C773" s="226"/>
      <c r="D773" s="226"/>
      <c r="E773" s="226"/>
      <c r="F773" s="226"/>
      <c r="G773" s="226"/>
      <c r="H773" s="226"/>
      <c r="I773" s="226"/>
      <c r="J773" s="226"/>
      <c r="K773" s="226"/>
      <c r="L773" s="226"/>
      <c r="M773" s="226"/>
      <c r="N773" s="226"/>
      <c r="O773" s="226"/>
      <c r="P773" s="226"/>
      <c r="Q773" s="226"/>
      <c r="R773" s="226"/>
      <c r="S773" s="226"/>
      <c r="T773" s="226"/>
      <c r="U773" s="226"/>
      <c r="V773" s="226"/>
      <c r="W773" s="226"/>
      <c r="X773" s="226"/>
    </row>
    <row r="774" spans="1:24" ht="14.25" x14ac:dyDescent="0.2">
      <c r="A774" s="226"/>
      <c r="B774" s="226"/>
      <c r="C774" s="226"/>
      <c r="D774" s="226"/>
      <c r="E774" s="226"/>
      <c r="F774" s="226"/>
      <c r="G774" s="226"/>
      <c r="H774" s="226"/>
      <c r="I774" s="226"/>
      <c r="J774" s="226"/>
      <c r="K774" s="226"/>
      <c r="L774" s="226"/>
      <c r="M774" s="226"/>
      <c r="N774" s="226"/>
      <c r="O774" s="226"/>
      <c r="P774" s="226"/>
      <c r="Q774" s="226"/>
      <c r="R774" s="226"/>
      <c r="S774" s="226"/>
      <c r="T774" s="226"/>
      <c r="U774" s="226"/>
      <c r="V774" s="226"/>
      <c r="W774" s="226"/>
      <c r="X774" s="226"/>
    </row>
    <row r="775" spans="1:24" ht="14.25" x14ac:dyDescent="0.2">
      <c r="A775" s="226"/>
      <c r="B775" s="226"/>
      <c r="C775" s="226"/>
      <c r="D775" s="226"/>
      <c r="E775" s="226"/>
      <c r="F775" s="226"/>
      <c r="G775" s="226"/>
      <c r="H775" s="226"/>
      <c r="I775" s="226"/>
      <c r="J775" s="226"/>
      <c r="K775" s="226"/>
      <c r="L775" s="226"/>
      <c r="M775" s="226"/>
      <c r="N775" s="226"/>
      <c r="O775" s="226"/>
      <c r="P775" s="226"/>
      <c r="Q775" s="226"/>
      <c r="R775" s="226"/>
      <c r="S775" s="226"/>
      <c r="T775" s="226"/>
      <c r="U775" s="226"/>
      <c r="V775" s="226"/>
      <c r="W775" s="226"/>
      <c r="X775" s="226"/>
    </row>
    <row r="776" spans="1:24" ht="14.25" x14ac:dyDescent="0.2">
      <c r="A776" s="226"/>
      <c r="B776" s="226"/>
      <c r="C776" s="226"/>
      <c r="D776" s="226"/>
      <c r="E776" s="226"/>
      <c r="F776" s="226"/>
      <c r="G776" s="226"/>
      <c r="H776" s="226"/>
      <c r="I776" s="226"/>
      <c r="J776" s="226"/>
      <c r="K776" s="226"/>
      <c r="L776" s="226"/>
      <c r="M776" s="226"/>
      <c r="N776" s="226"/>
      <c r="O776" s="226"/>
      <c r="P776" s="226"/>
      <c r="Q776" s="226"/>
      <c r="R776" s="226"/>
      <c r="S776" s="226"/>
      <c r="T776" s="226"/>
      <c r="U776" s="226"/>
      <c r="V776" s="226"/>
      <c r="W776" s="226"/>
      <c r="X776" s="226"/>
    </row>
    <row r="777" spans="1:24" ht="14.25" x14ac:dyDescent="0.2">
      <c r="A777" s="226"/>
      <c r="B777" s="226"/>
      <c r="C777" s="226"/>
      <c r="D777" s="226"/>
      <c r="E777" s="226"/>
      <c r="F777" s="226"/>
      <c r="G777" s="226"/>
      <c r="H777" s="226"/>
      <c r="I777" s="226"/>
      <c r="J777" s="226"/>
      <c r="K777" s="226"/>
      <c r="L777" s="226"/>
      <c r="M777" s="226"/>
      <c r="N777" s="226"/>
      <c r="O777" s="226"/>
      <c r="P777" s="226"/>
      <c r="Q777" s="226"/>
      <c r="R777" s="226"/>
      <c r="S777" s="226"/>
      <c r="T777" s="226"/>
      <c r="U777" s="226"/>
      <c r="V777" s="226"/>
      <c r="W777" s="226"/>
      <c r="X777" s="226"/>
    </row>
    <row r="778" spans="1:24" ht="14.25" x14ac:dyDescent="0.2">
      <c r="A778" s="226"/>
      <c r="B778" s="226"/>
      <c r="C778" s="226"/>
      <c r="D778" s="226"/>
      <c r="E778" s="226"/>
      <c r="F778" s="226"/>
      <c r="G778" s="226"/>
      <c r="H778" s="226"/>
      <c r="I778" s="226"/>
      <c r="J778" s="226"/>
      <c r="K778" s="226"/>
      <c r="L778" s="226"/>
      <c r="M778" s="226"/>
      <c r="N778" s="226"/>
      <c r="O778" s="226"/>
      <c r="P778" s="226"/>
      <c r="Q778" s="226"/>
      <c r="R778" s="226"/>
      <c r="S778" s="226"/>
      <c r="T778" s="226"/>
      <c r="U778" s="226"/>
      <c r="V778" s="226"/>
      <c r="W778" s="226"/>
      <c r="X778" s="226"/>
    </row>
    <row r="779" spans="1:24" ht="14.25" x14ac:dyDescent="0.2">
      <c r="A779" s="226"/>
      <c r="B779" s="226"/>
      <c r="C779" s="226"/>
      <c r="D779" s="226"/>
      <c r="E779" s="226"/>
      <c r="F779" s="226"/>
      <c r="G779" s="226"/>
      <c r="H779" s="226"/>
      <c r="I779" s="226"/>
      <c r="J779" s="226"/>
      <c r="K779" s="226"/>
      <c r="L779" s="226"/>
      <c r="M779" s="226"/>
      <c r="N779" s="226"/>
      <c r="O779" s="226"/>
      <c r="P779" s="226"/>
      <c r="Q779" s="226"/>
      <c r="R779" s="226"/>
      <c r="S779" s="226"/>
      <c r="T779" s="226"/>
      <c r="U779" s="226"/>
      <c r="V779" s="226"/>
      <c r="W779" s="226"/>
      <c r="X779" s="226"/>
    </row>
    <row r="780" spans="1:24" ht="14.25" x14ac:dyDescent="0.2">
      <c r="A780" s="226"/>
      <c r="B780" s="226"/>
      <c r="C780" s="226"/>
      <c r="D780" s="226"/>
      <c r="E780" s="226"/>
      <c r="F780" s="226"/>
      <c r="G780" s="226"/>
      <c r="H780" s="226"/>
      <c r="I780" s="226"/>
      <c r="J780" s="226"/>
      <c r="K780" s="226"/>
      <c r="L780" s="226"/>
      <c r="M780" s="226"/>
      <c r="N780" s="226"/>
      <c r="O780" s="226"/>
      <c r="P780" s="226"/>
      <c r="Q780" s="226"/>
      <c r="R780" s="226"/>
      <c r="S780" s="226"/>
      <c r="T780" s="226"/>
      <c r="U780" s="226"/>
      <c r="V780" s="226"/>
      <c r="W780" s="226"/>
      <c r="X780" s="226"/>
    </row>
    <row r="781" spans="1:24" ht="14.25" x14ac:dyDescent="0.2">
      <c r="A781" s="226"/>
      <c r="B781" s="226"/>
      <c r="C781" s="226"/>
      <c r="D781" s="226"/>
      <c r="E781" s="226"/>
      <c r="F781" s="226"/>
      <c r="G781" s="226"/>
      <c r="H781" s="226"/>
      <c r="I781" s="226"/>
      <c r="J781" s="226"/>
      <c r="K781" s="226"/>
      <c r="L781" s="226"/>
      <c r="M781" s="226"/>
      <c r="N781" s="226"/>
      <c r="O781" s="226"/>
      <c r="P781" s="226"/>
      <c r="Q781" s="226"/>
      <c r="R781" s="226"/>
      <c r="S781" s="226"/>
      <c r="T781" s="226"/>
      <c r="U781" s="226"/>
      <c r="V781" s="226"/>
      <c r="W781" s="226"/>
      <c r="X781" s="226"/>
    </row>
    <row r="782" spans="1:24" ht="14.25" x14ac:dyDescent="0.2">
      <c r="A782" s="226"/>
      <c r="B782" s="226"/>
      <c r="C782" s="226"/>
      <c r="D782" s="226"/>
      <c r="E782" s="226"/>
      <c r="F782" s="226"/>
      <c r="G782" s="226"/>
      <c r="H782" s="226"/>
      <c r="I782" s="226"/>
      <c r="J782" s="226"/>
      <c r="K782" s="226"/>
      <c r="L782" s="226"/>
      <c r="M782" s="226"/>
      <c r="N782" s="226"/>
      <c r="O782" s="226"/>
      <c r="P782" s="226"/>
      <c r="Q782" s="226"/>
      <c r="R782" s="226"/>
      <c r="S782" s="226"/>
      <c r="T782" s="226"/>
      <c r="U782" s="226"/>
      <c r="V782" s="226"/>
      <c r="W782" s="226"/>
      <c r="X782" s="226"/>
    </row>
    <row r="783" spans="1:24" ht="14.25" x14ac:dyDescent="0.2">
      <c r="A783" s="226"/>
      <c r="B783" s="226"/>
      <c r="C783" s="226"/>
      <c r="D783" s="226"/>
      <c r="E783" s="226"/>
      <c r="F783" s="226"/>
      <c r="G783" s="226"/>
      <c r="H783" s="226"/>
      <c r="I783" s="226"/>
      <c r="J783" s="226"/>
      <c r="K783" s="226"/>
      <c r="L783" s="226"/>
      <c r="M783" s="226"/>
      <c r="N783" s="226"/>
      <c r="O783" s="226"/>
      <c r="P783" s="226"/>
      <c r="Q783" s="226"/>
      <c r="R783" s="226"/>
      <c r="S783" s="226"/>
      <c r="T783" s="226"/>
      <c r="U783" s="226"/>
      <c r="V783" s="226"/>
      <c r="W783" s="226"/>
      <c r="X783" s="226"/>
    </row>
    <row r="784" spans="1:24" ht="14.25" x14ac:dyDescent="0.2">
      <c r="A784" s="226"/>
      <c r="B784" s="226"/>
      <c r="C784" s="226"/>
      <c r="D784" s="226"/>
      <c r="E784" s="226"/>
      <c r="F784" s="226"/>
      <c r="G784" s="226"/>
      <c r="H784" s="226"/>
      <c r="I784" s="226"/>
      <c r="J784" s="226"/>
      <c r="K784" s="226"/>
      <c r="L784" s="226"/>
      <c r="M784" s="226"/>
      <c r="N784" s="226"/>
      <c r="O784" s="226"/>
      <c r="P784" s="226"/>
      <c r="Q784" s="226"/>
      <c r="R784" s="226"/>
      <c r="S784" s="226"/>
      <c r="T784" s="226"/>
      <c r="U784" s="226"/>
      <c r="V784" s="226"/>
      <c r="W784" s="226"/>
      <c r="X784" s="226"/>
    </row>
    <row r="785" spans="1:24" ht="14.25" x14ac:dyDescent="0.2">
      <c r="A785" s="226"/>
      <c r="B785" s="226"/>
      <c r="C785" s="226"/>
      <c r="D785" s="226"/>
      <c r="E785" s="226"/>
      <c r="F785" s="226"/>
      <c r="G785" s="226"/>
      <c r="H785" s="226"/>
      <c r="I785" s="226"/>
      <c r="J785" s="226"/>
      <c r="K785" s="226"/>
      <c r="L785" s="226"/>
      <c r="M785" s="226"/>
      <c r="N785" s="226"/>
      <c r="O785" s="226"/>
      <c r="P785" s="226"/>
      <c r="Q785" s="226"/>
      <c r="R785" s="226"/>
      <c r="S785" s="226"/>
      <c r="T785" s="226"/>
      <c r="U785" s="226"/>
      <c r="V785" s="226"/>
      <c r="W785" s="226"/>
      <c r="X785" s="226"/>
    </row>
    <row r="786" spans="1:24" ht="14.25" x14ac:dyDescent="0.2">
      <c r="A786" s="226"/>
      <c r="B786" s="226"/>
      <c r="C786" s="226"/>
      <c r="D786" s="226"/>
      <c r="E786" s="226"/>
      <c r="F786" s="226"/>
      <c r="G786" s="226"/>
      <c r="H786" s="226"/>
      <c r="I786" s="226"/>
      <c r="J786" s="226"/>
      <c r="K786" s="226"/>
      <c r="L786" s="226"/>
      <c r="M786" s="226"/>
      <c r="N786" s="226"/>
      <c r="O786" s="226"/>
      <c r="P786" s="226"/>
      <c r="Q786" s="226"/>
      <c r="R786" s="226"/>
      <c r="S786" s="226"/>
      <c r="T786" s="226"/>
      <c r="U786" s="226"/>
      <c r="V786" s="226"/>
      <c r="W786" s="226"/>
      <c r="X786" s="226"/>
    </row>
    <row r="787" spans="1:24" ht="14.25" x14ac:dyDescent="0.2">
      <c r="A787" s="226"/>
      <c r="B787" s="226"/>
      <c r="C787" s="226"/>
      <c r="D787" s="226"/>
      <c r="E787" s="226"/>
      <c r="F787" s="226"/>
      <c r="G787" s="226"/>
      <c r="H787" s="226"/>
      <c r="I787" s="226"/>
      <c r="J787" s="226"/>
      <c r="K787" s="226"/>
      <c r="L787" s="226"/>
      <c r="M787" s="226"/>
      <c r="N787" s="226"/>
      <c r="O787" s="226"/>
      <c r="P787" s="226"/>
      <c r="Q787" s="226"/>
      <c r="R787" s="226"/>
      <c r="S787" s="226"/>
      <c r="T787" s="226"/>
      <c r="U787" s="226"/>
      <c r="V787" s="226"/>
      <c r="W787" s="226"/>
      <c r="X787" s="226"/>
    </row>
    <row r="788" spans="1:24" ht="14.25" x14ac:dyDescent="0.2">
      <c r="A788" s="226"/>
      <c r="B788" s="226"/>
      <c r="C788" s="226"/>
      <c r="D788" s="226"/>
      <c r="E788" s="226"/>
      <c r="F788" s="226"/>
      <c r="G788" s="226"/>
      <c r="H788" s="226"/>
      <c r="I788" s="226"/>
      <c r="J788" s="226"/>
      <c r="K788" s="226"/>
      <c r="L788" s="226"/>
      <c r="M788" s="226"/>
      <c r="N788" s="226"/>
      <c r="O788" s="226"/>
      <c r="P788" s="226"/>
      <c r="Q788" s="226"/>
      <c r="R788" s="226"/>
      <c r="S788" s="226"/>
      <c r="T788" s="226"/>
      <c r="U788" s="226"/>
      <c r="V788" s="226"/>
      <c r="W788" s="226"/>
      <c r="X788" s="226"/>
    </row>
    <row r="789" spans="1:24" ht="14.25" x14ac:dyDescent="0.2">
      <c r="A789" s="226"/>
      <c r="B789" s="226"/>
      <c r="C789" s="226"/>
      <c r="D789" s="226"/>
      <c r="E789" s="226"/>
      <c r="F789" s="226"/>
      <c r="G789" s="226"/>
      <c r="H789" s="226"/>
      <c r="I789" s="226"/>
      <c r="J789" s="226"/>
      <c r="K789" s="226"/>
      <c r="L789" s="226"/>
      <c r="M789" s="226"/>
      <c r="N789" s="226"/>
      <c r="O789" s="226"/>
      <c r="P789" s="226"/>
      <c r="Q789" s="226"/>
      <c r="R789" s="226"/>
      <c r="S789" s="226"/>
      <c r="T789" s="226"/>
      <c r="U789" s="226"/>
      <c r="V789" s="226"/>
      <c r="W789" s="226"/>
      <c r="X789" s="226"/>
    </row>
    <row r="790" spans="1:24" ht="14.25" x14ac:dyDescent="0.2">
      <c r="A790" s="226"/>
      <c r="B790" s="226"/>
      <c r="C790" s="226"/>
      <c r="D790" s="226"/>
      <c r="E790" s="226"/>
      <c r="F790" s="226"/>
      <c r="G790" s="226"/>
      <c r="H790" s="226"/>
      <c r="I790" s="226"/>
      <c r="J790" s="226"/>
      <c r="K790" s="226"/>
      <c r="L790" s="226"/>
      <c r="M790" s="226"/>
      <c r="N790" s="226"/>
      <c r="O790" s="226"/>
      <c r="P790" s="226"/>
      <c r="Q790" s="226"/>
      <c r="R790" s="226"/>
      <c r="S790" s="226"/>
      <c r="T790" s="226"/>
      <c r="U790" s="226"/>
      <c r="V790" s="226"/>
      <c r="W790" s="226"/>
      <c r="X790" s="226"/>
    </row>
    <row r="791" spans="1:24" ht="14.25" x14ac:dyDescent="0.2">
      <c r="A791" s="226"/>
      <c r="B791" s="226"/>
      <c r="C791" s="226"/>
      <c r="D791" s="226"/>
      <c r="E791" s="226"/>
      <c r="F791" s="226"/>
      <c r="G791" s="226"/>
      <c r="H791" s="226"/>
      <c r="I791" s="226"/>
      <c r="J791" s="226"/>
      <c r="K791" s="226"/>
      <c r="L791" s="226"/>
      <c r="M791" s="226"/>
      <c r="N791" s="226"/>
      <c r="O791" s="226"/>
      <c r="P791" s="226"/>
      <c r="Q791" s="226"/>
      <c r="R791" s="226"/>
      <c r="S791" s="226"/>
      <c r="T791" s="226"/>
      <c r="U791" s="226"/>
      <c r="V791" s="226"/>
      <c r="W791" s="226"/>
      <c r="X791" s="226"/>
    </row>
    <row r="792" spans="1:24" ht="14.25" x14ac:dyDescent="0.2">
      <c r="A792" s="226"/>
      <c r="B792" s="226"/>
      <c r="C792" s="226"/>
      <c r="D792" s="226"/>
      <c r="E792" s="226"/>
      <c r="F792" s="226"/>
      <c r="G792" s="226"/>
      <c r="H792" s="226"/>
      <c r="I792" s="226"/>
      <c r="J792" s="226"/>
      <c r="K792" s="226"/>
      <c r="L792" s="226"/>
      <c r="M792" s="226"/>
      <c r="N792" s="226"/>
      <c r="O792" s="226"/>
      <c r="P792" s="226"/>
      <c r="Q792" s="226"/>
      <c r="R792" s="226"/>
      <c r="S792" s="226"/>
      <c r="T792" s="226"/>
      <c r="U792" s="226"/>
      <c r="V792" s="226"/>
      <c r="W792" s="226"/>
      <c r="X792" s="226"/>
    </row>
    <row r="793" spans="1:24" ht="14.25" x14ac:dyDescent="0.2">
      <c r="A793" s="226"/>
      <c r="B793" s="226"/>
      <c r="C793" s="226"/>
      <c r="D793" s="226"/>
      <c r="E793" s="226"/>
      <c r="F793" s="226"/>
      <c r="G793" s="226"/>
      <c r="H793" s="226"/>
      <c r="I793" s="226"/>
      <c r="J793" s="226"/>
      <c r="K793" s="226"/>
      <c r="L793" s="226"/>
      <c r="M793" s="226"/>
      <c r="N793" s="226"/>
      <c r="O793" s="226"/>
      <c r="P793" s="226"/>
      <c r="Q793" s="226"/>
      <c r="R793" s="226"/>
      <c r="S793" s="226"/>
      <c r="T793" s="226"/>
      <c r="U793" s="226"/>
      <c r="V793" s="226"/>
      <c r="W793" s="226"/>
      <c r="X793" s="226"/>
    </row>
    <row r="794" spans="1:24" ht="14.25" x14ac:dyDescent="0.2">
      <c r="A794" s="226"/>
      <c r="B794" s="226"/>
      <c r="C794" s="226"/>
      <c r="D794" s="226"/>
      <c r="E794" s="226"/>
      <c r="F794" s="226"/>
      <c r="G794" s="226"/>
      <c r="H794" s="226"/>
      <c r="I794" s="226"/>
      <c r="J794" s="226"/>
      <c r="K794" s="226"/>
      <c r="L794" s="226"/>
      <c r="M794" s="226"/>
      <c r="N794" s="226"/>
      <c r="O794" s="226"/>
      <c r="P794" s="226"/>
      <c r="Q794" s="226"/>
      <c r="R794" s="226"/>
      <c r="S794" s="226"/>
      <c r="T794" s="226"/>
      <c r="U794" s="226"/>
      <c r="V794" s="226"/>
      <c r="W794" s="226"/>
      <c r="X794" s="226"/>
    </row>
    <row r="795" spans="1:24" ht="14.25" x14ac:dyDescent="0.2">
      <c r="A795" s="226"/>
      <c r="B795" s="226"/>
      <c r="C795" s="226"/>
      <c r="D795" s="226"/>
      <c r="E795" s="226"/>
      <c r="F795" s="226"/>
      <c r="G795" s="226"/>
      <c r="H795" s="226"/>
      <c r="I795" s="226"/>
      <c r="J795" s="226"/>
      <c r="K795" s="226"/>
      <c r="L795" s="226"/>
      <c r="M795" s="226"/>
      <c r="N795" s="226"/>
      <c r="O795" s="226"/>
      <c r="P795" s="226"/>
      <c r="Q795" s="226"/>
      <c r="R795" s="226"/>
      <c r="S795" s="226"/>
      <c r="T795" s="226"/>
      <c r="U795" s="226"/>
      <c r="V795" s="226"/>
      <c r="W795" s="226"/>
      <c r="X795" s="226"/>
    </row>
    <row r="796" spans="1:24" ht="14.25" x14ac:dyDescent="0.2">
      <c r="A796" s="226"/>
      <c r="B796" s="226"/>
      <c r="C796" s="226"/>
      <c r="D796" s="226"/>
      <c r="E796" s="226"/>
      <c r="F796" s="226"/>
      <c r="G796" s="226"/>
      <c r="H796" s="226"/>
      <c r="I796" s="226"/>
      <c r="J796" s="226"/>
      <c r="K796" s="226"/>
      <c r="L796" s="226"/>
      <c r="M796" s="226"/>
      <c r="N796" s="226"/>
      <c r="O796" s="226"/>
      <c r="P796" s="226"/>
      <c r="Q796" s="226"/>
      <c r="R796" s="226"/>
      <c r="S796" s="226"/>
      <c r="T796" s="226"/>
      <c r="U796" s="226"/>
      <c r="V796" s="226"/>
      <c r="W796" s="226"/>
      <c r="X796" s="226"/>
    </row>
    <row r="797" spans="1:24" ht="14.25" x14ac:dyDescent="0.2">
      <c r="A797" s="226"/>
      <c r="B797" s="226"/>
      <c r="C797" s="226"/>
      <c r="D797" s="226"/>
      <c r="E797" s="226"/>
      <c r="F797" s="226"/>
      <c r="G797" s="226"/>
      <c r="H797" s="226"/>
      <c r="I797" s="226"/>
      <c r="J797" s="226"/>
      <c r="K797" s="226"/>
      <c r="L797" s="226"/>
      <c r="M797" s="226"/>
      <c r="N797" s="226"/>
      <c r="O797" s="226"/>
      <c r="P797" s="226"/>
      <c r="Q797" s="226"/>
      <c r="R797" s="226"/>
      <c r="S797" s="226"/>
      <c r="T797" s="226"/>
      <c r="U797" s="226"/>
      <c r="V797" s="226"/>
      <c r="W797" s="226"/>
      <c r="X797" s="226"/>
    </row>
    <row r="798" spans="1:24" ht="14.25" x14ac:dyDescent="0.2">
      <c r="A798" s="226"/>
      <c r="B798" s="226"/>
      <c r="C798" s="226"/>
      <c r="D798" s="226"/>
      <c r="E798" s="226"/>
      <c r="F798" s="226"/>
      <c r="G798" s="226"/>
      <c r="H798" s="226"/>
      <c r="I798" s="226"/>
      <c r="J798" s="226"/>
      <c r="K798" s="226"/>
      <c r="L798" s="226"/>
      <c r="M798" s="226"/>
      <c r="N798" s="226"/>
      <c r="O798" s="226"/>
      <c r="P798" s="226"/>
      <c r="Q798" s="226"/>
      <c r="R798" s="226"/>
      <c r="S798" s="226"/>
      <c r="T798" s="226"/>
      <c r="U798" s="226"/>
      <c r="V798" s="226"/>
      <c r="W798" s="226"/>
      <c r="X798" s="226"/>
    </row>
    <row r="799" spans="1:24" ht="14.25" x14ac:dyDescent="0.2">
      <c r="A799" s="226"/>
      <c r="B799" s="226"/>
      <c r="C799" s="226"/>
      <c r="D799" s="226"/>
      <c r="E799" s="226"/>
      <c r="F799" s="226"/>
      <c r="G799" s="226"/>
      <c r="H799" s="226"/>
      <c r="I799" s="226"/>
      <c r="J799" s="226"/>
      <c r="K799" s="226"/>
      <c r="L799" s="226"/>
      <c r="M799" s="226"/>
      <c r="N799" s="226"/>
      <c r="O799" s="226"/>
      <c r="P799" s="226"/>
      <c r="Q799" s="226"/>
      <c r="R799" s="226"/>
      <c r="S799" s="226"/>
      <c r="T799" s="226"/>
      <c r="U799" s="226"/>
      <c r="V799" s="226"/>
      <c r="W799" s="226"/>
      <c r="X799" s="226"/>
    </row>
    <row r="800" spans="1:24" ht="14.25" x14ac:dyDescent="0.2">
      <c r="A800" s="226"/>
      <c r="B800" s="226"/>
      <c r="C800" s="226"/>
      <c r="D800" s="226"/>
      <c r="E800" s="226"/>
      <c r="F800" s="226"/>
      <c r="G800" s="226"/>
      <c r="H800" s="226"/>
      <c r="I800" s="226"/>
      <c r="J800" s="226"/>
      <c r="K800" s="226"/>
      <c r="L800" s="226"/>
      <c r="M800" s="226"/>
      <c r="N800" s="226"/>
      <c r="O800" s="226"/>
      <c r="P800" s="226"/>
      <c r="Q800" s="226"/>
      <c r="R800" s="226"/>
      <c r="S800" s="226"/>
      <c r="T800" s="226"/>
      <c r="U800" s="226"/>
      <c r="V800" s="226"/>
      <c r="W800" s="226"/>
      <c r="X800" s="226"/>
    </row>
    <row r="801" spans="1:24" ht="14.25" x14ac:dyDescent="0.2">
      <c r="A801" s="226"/>
      <c r="B801" s="226"/>
      <c r="C801" s="226"/>
      <c r="D801" s="226"/>
      <c r="E801" s="226"/>
      <c r="F801" s="226"/>
      <c r="G801" s="226"/>
      <c r="H801" s="226"/>
      <c r="I801" s="226"/>
      <c r="J801" s="226"/>
      <c r="K801" s="226"/>
      <c r="L801" s="226"/>
      <c r="M801" s="226"/>
      <c r="N801" s="226"/>
      <c r="O801" s="226"/>
      <c r="P801" s="226"/>
      <c r="Q801" s="226"/>
      <c r="R801" s="226"/>
      <c r="S801" s="226"/>
      <c r="T801" s="226"/>
      <c r="U801" s="226"/>
      <c r="V801" s="226"/>
      <c r="W801" s="226"/>
      <c r="X801" s="226"/>
    </row>
    <row r="802" spans="1:24" ht="14.25" x14ac:dyDescent="0.2">
      <c r="A802" s="226"/>
      <c r="B802" s="226"/>
      <c r="C802" s="226"/>
      <c r="D802" s="226"/>
      <c r="E802" s="226"/>
      <c r="F802" s="226"/>
      <c r="G802" s="226"/>
      <c r="H802" s="226"/>
      <c r="I802" s="226"/>
      <c r="J802" s="226"/>
      <c r="K802" s="226"/>
      <c r="L802" s="226"/>
      <c r="M802" s="226"/>
      <c r="N802" s="226"/>
      <c r="O802" s="226"/>
      <c r="P802" s="226"/>
      <c r="Q802" s="226"/>
      <c r="R802" s="226"/>
      <c r="S802" s="226"/>
      <c r="T802" s="226"/>
      <c r="U802" s="226"/>
      <c r="V802" s="226"/>
      <c r="W802" s="226"/>
      <c r="X802" s="226"/>
    </row>
    <row r="803" spans="1:24" ht="14.25" x14ac:dyDescent="0.2">
      <c r="A803" s="226"/>
      <c r="B803" s="226"/>
      <c r="C803" s="226"/>
      <c r="D803" s="226"/>
      <c r="E803" s="226"/>
      <c r="F803" s="226"/>
      <c r="G803" s="226"/>
      <c r="H803" s="226"/>
      <c r="I803" s="226"/>
      <c r="J803" s="226"/>
      <c r="K803" s="226"/>
      <c r="L803" s="226"/>
      <c r="M803" s="226"/>
      <c r="N803" s="226"/>
      <c r="O803" s="226"/>
      <c r="P803" s="226"/>
      <c r="Q803" s="226"/>
      <c r="R803" s="226"/>
      <c r="S803" s="226"/>
      <c r="T803" s="226"/>
      <c r="U803" s="226"/>
      <c r="V803" s="226"/>
      <c r="W803" s="226"/>
      <c r="X803" s="226"/>
    </row>
    <row r="804" spans="1:24" ht="14.25" x14ac:dyDescent="0.2">
      <c r="A804" s="226"/>
      <c r="B804" s="226"/>
      <c r="C804" s="226"/>
      <c r="D804" s="226"/>
      <c r="E804" s="226"/>
      <c r="F804" s="226"/>
      <c r="G804" s="226"/>
      <c r="H804" s="226"/>
      <c r="I804" s="226"/>
      <c r="J804" s="226"/>
      <c r="K804" s="226"/>
      <c r="L804" s="226"/>
      <c r="M804" s="226"/>
      <c r="N804" s="226"/>
      <c r="O804" s="226"/>
      <c r="P804" s="226"/>
      <c r="Q804" s="226"/>
      <c r="R804" s="226"/>
      <c r="S804" s="226"/>
      <c r="T804" s="226"/>
      <c r="U804" s="226"/>
      <c r="V804" s="226"/>
      <c r="W804" s="226"/>
      <c r="X804" s="226"/>
    </row>
    <row r="805" spans="1:24" ht="14.25" x14ac:dyDescent="0.2">
      <c r="A805" s="226"/>
      <c r="B805" s="226"/>
      <c r="C805" s="226"/>
      <c r="D805" s="226"/>
      <c r="E805" s="226"/>
      <c r="F805" s="226"/>
      <c r="G805" s="226"/>
      <c r="H805" s="226"/>
      <c r="I805" s="226"/>
      <c r="J805" s="226"/>
      <c r="K805" s="226"/>
      <c r="L805" s="226"/>
      <c r="M805" s="226"/>
      <c r="N805" s="226"/>
      <c r="O805" s="226"/>
      <c r="P805" s="226"/>
      <c r="Q805" s="226"/>
      <c r="R805" s="226"/>
      <c r="S805" s="226"/>
      <c r="T805" s="226"/>
      <c r="U805" s="226"/>
      <c r="V805" s="226"/>
      <c r="W805" s="226"/>
      <c r="X805" s="226"/>
    </row>
    <row r="806" spans="1:24" ht="14.25" x14ac:dyDescent="0.2">
      <c r="A806" s="226"/>
      <c r="B806" s="226"/>
      <c r="C806" s="226"/>
      <c r="D806" s="226"/>
      <c r="E806" s="226"/>
      <c r="F806" s="226"/>
      <c r="G806" s="226"/>
      <c r="H806" s="226"/>
      <c r="I806" s="226"/>
      <c r="J806" s="226"/>
      <c r="K806" s="226"/>
      <c r="L806" s="226"/>
      <c r="M806" s="226"/>
      <c r="N806" s="226"/>
      <c r="O806" s="226"/>
      <c r="P806" s="226"/>
      <c r="Q806" s="226"/>
      <c r="R806" s="226"/>
      <c r="S806" s="226"/>
      <c r="T806" s="226"/>
      <c r="U806" s="226"/>
      <c r="V806" s="226"/>
      <c r="W806" s="226"/>
      <c r="X806" s="226"/>
    </row>
    <row r="807" spans="1:24" ht="14.25" x14ac:dyDescent="0.2">
      <c r="A807" s="226"/>
      <c r="B807" s="226"/>
      <c r="C807" s="226"/>
      <c r="D807" s="226"/>
      <c r="E807" s="226"/>
      <c r="F807" s="226"/>
      <c r="G807" s="226"/>
      <c r="H807" s="226"/>
      <c r="I807" s="226"/>
      <c r="J807" s="226"/>
      <c r="K807" s="226"/>
      <c r="L807" s="226"/>
      <c r="M807" s="226"/>
      <c r="N807" s="226"/>
      <c r="O807" s="226"/>
      <c r="P807" s="226"/>
      <c r="Q807" s="226"/>
      <c r="R807" s="226"/>
      <c r="S807" s="226"/>
      <c r="T807" s="226"/>
      <c r="U807" s="226"/>
      <c r="V807" s="226"/>
      <c r="W807" s="226"/>
      <c r="X807" s="226"/>
    </row>
    <row r="808" spans="1:24" ht="14.25" x14ac:dyDescent="0.2">
      <c r="A808" s="226"/>
      <c r="B808" s="226"/>
      <c r="C808" s="226"/>
      <c r="D808" s="226"/>
      <c r="E808" s="226"/>
      <c r="F808" s="226"/>
      <c r="G808" s="226"/>
      <c r="H808" s="226"/>
      <c r="I808" s="226"/>
      <c r="J808" s="226"/>
      <c r="K808" s="226"/>
      <c r="L808" s="226"/>
      <c r="M808" s="226"/>
      <c r="N808" s="226"/>
      <c r="O808" s="226"/>
      <c r="P808" s="226"/>
      <c r="Q808" s="226"/>
      <c r="R808" s="226"/>
      <c r="S808" s="226"/>
      <c r="T808" s="226"/>
      <c r="U808" s="226"/>
      <c r="V808" s="226"/>
      <c r="W808" s="226"/>
      <c r="X808" s="226"/>
    </row>
    <row r="809" spans="1:24" ht="14.25" x14ac:dyDescent="0.2">
      <c r="A809" s="226"/>
      <c r="B809" s="226"/>
      <c r="C809" s="226"/>
      <c r="D809" s="226"/>
      <c r="E809" s="226"/>
      <c r="F809" s="226"/>
      <c r="G809" s="226"/>
      <c r="H809" s="226"/>
      <c r="I809" s="226"/>
      <c r="J809" s="226"/>
      <c r="K809" s="226"/>
      <c r="L809" s="226"/>
      <c r="M809" s="226"/>
      <c r="N809" s="226"/>
      <c r="O809" s="226"/>
      <c r="P809" s="226"/>
      <c r="Q809" s="226"/>
      <c r="R809" s="226"/>
      <c r="S809" s="226"/>
      <c r="T809" s="226"/>
      <c r="U809" s="226"/>
      <c r="V809" s="226"/>
      <c r="W809" s="226"/>
      <c r="X809" s="226"/>
    </row>
    <row r="810" spans="1:24" ht="14.25" x14ac:dyDescent="0.2">
      <c r="A810" s="226"/>
      <c r="B810" s="226"/>
      <c r="C810" s="226"/>
      <c r="D810" s="226"/>
      <c r="E810" s="226"/>
      <c r="F810" s="226"/>
      <c r="G810" s="226"/>
      <c r="H810" s="226"/>
      <c r="I810" s="226"/>
      <c r="J810" s="226"/>
      <c r="K810" s="226"/>
      <c r="L810" s="226"/>
      <c r="M810" s="226"/>
      <c r="N810" s="226"/>
      <c r="O810" s="226"/>
      <c r="P810" s="226"/>
      <c r="Q810" s="226"/>
      <c r="R810" s="226"/>
      <c r="S810" s="226"/>
      <c r="T810" s="226"/>
      <c r="U810" s="226"/>
      <c r="V810" s="226"/>
      <c r="W810" s="226"/>
      <c r="X810" s="226"/>
    </row>
    <row r="811" spans="1:24" ht="14.25" x14ac:dyDescent="0.2">
      <c r="A811" s="226"/>
      <c r="B811" s="226"/>
      <c r="C811" s="226"/>
      <c r="D811" s="226"/>
      <c r="E811" s="226"/>
      <c r="F811" s="226"/>
      <c r="G811" s="226"/>
      <c r="H811" s="226"/>
      <c r="I811" s="226"/>
      <c r="J811" s="226"/>
      <c r="K811" s="226"/>
      <c r="L811" s="226"/>
      <c r="M811" s="226"/>
      <c r="N811" s="226"/>
      <c r="O811" s="226"/>
      <c r="P811" s="226"/>
      <c r="Q811" s="226"/>
      <c r="R811" s="226"/>
      <c r="S811" s="226"/>
      <c r="T811" s="226"/>
      <c r="U811" s="226"/>
      <c r="V811" s="226"/>
      <c r="W811" s="226"/>
      <c r="X811" s="226"/>
    </row>
    <row r="812" spans="1:24" ht="14.25" x14ac:dyDescent="0.2">
      <c r="A812" s="226"/>
      <c r="B812" s="226"/>
      <c r="C812" s="226"/>
      <c r="D812" s="226"/>
      <c r="E812" s="226"/>
      <c r="F812" s="226"/>
      <c r="G812" s="226"/>
      <c r="H812" s="226"/>
      <c r="I812" s="226"/>
      <c r="J812" s="226"/>
      <c r="K812" s="226"/>
      <c r="L812" s="226"/>
      <c r="M812" s="226"/>
      <c r="N812" s="226"/>
      <c r="O812" s="226"/>
      <c r="P812" s="226"/>
      <c r="Q812" s="226"/>
      <c r="R812" s="226"/>
      <c r="S812" s="226"/>
      <c r="T812" s="226"/>
      <c r="U812" s="226"/>
      <c r="V812" s="226"/>
      <c r="W812" s="226"/>
      <c r="X812" s="226"/>
    </row>
    <row r="813" spans="1:24" ht="14.25" x14ac:dyDescent="0.2">
      <c r="A813" s="226"/>
      <c r="B813" s="226"/>
      <c r="C813" s="226"/>
      <c r="D813" s="226"/>
      <c r="E813" s="226"/>
      <c r="F813" s="226"/>
      <c r="G813" s="226"/>
      <c r="H813" s="226"/>
      <c r="I813" s="226"/>
      <c r="J813" s="226"/>
      <c r="K813" s="226"/>
      <c r="L813" s="226"/>
      <c r="M813" s="226"/>
      <c r="N813" s="226"/>
      <c r="O813" s="226"/>
      <c r="P813" s="226"/>
      <c r="Q813" s="226"/>
      <c r="R813" s="226"/>
      <c r="S813" s="226"/>
      <c r="T813" s="226"/>
      <c r="U813" s="226"/>
      <c r="V813" s="226"/>
      <c r="W813" s="226"/>
      <c r="X813" s="226"/>
    </row>
    <row r="814" spans="1:24" ht="14.25" x14ac:dyDescent="0.2">
      <c r="A814" s="226"/>
      <c r="B814" s="226"/>
      <c r="C814" s="226"/>
      <c r="D814" s="226"/>
      <c r="E814" s="226"/>
      <c r="F814" s="226"/>
      <c r="G814" s="226"/>
      <c r="H814" s="226"/>
      <c r="I814" s="226"/>
      <c r="J814" s="226"/>
      <c r="K814" s="226"/>
      <c r="L814" s="226"/>
      <c r="M814" s="226"/>
      <c r="N814" s="226"/>
      <c r="O814" s="226"/>
      <c r="P814" s="226"/>
      <c r="Q814" s="226"/>
      <c r="R814" s="226"/>
      <c r="S814" s="226"/>
      <c r="T814" s="226"/>
      <c r="U814" s="226"/>
      <c r="V814" s="226"/>
      <c r="W814" s="226"/>
      <c r="X814" s="226"/>
    </row>
    <row r="815" spans="1:24" ht="14.25" x14ac:dyDescent="0.2">
      <c r="A815" s="226"/>
      <c r="B815" s="226"/>
      <c r="C815" s="226"/>
      <c r="D815" s="226"/>
      <c r="E815" s="226"/>
      <c r="F815" s="226"/>
      <c r="G815" s="226"/>
      <c r="H815" s="226"/>
      <c r="I815" s="226"/>
      <c r="J815" s="226"/>
      <c r="K815" s="226"/>
      <c r="L815" s="226"/>
      <c r="M815" s="226"/>
      <c r="N815" s="226"/>
      <c r="O815" s="226"/>
      <c r="P815" s="226"/>
      <c r="Q815" s="226"/>
      <c r="R815" s="226"/>
      <c r="S815" s="226"/>
      <c r="T815" s="226"/>
      <c r="U815" s="226"/>
      <c r="V815" s="226"/>
      <c r="W815" s="226"/>
      <c r="X815" s="226"/>
    </row>
    <row r="816" spans="1:24" ht="14.25" x14ac:dyDescent="0.2">
      <c r="A816" s="226"/>
      <c r="B816" s="226"/>
      <c r="C816" s="226"/>
      <c r="D816" s="226"/>
      <c r="E816" s="226"/>
      <c r="F816" s="226"/>
      <c r="G816" s="226"/>
      <c r="H816" s="226"/>
      <c r="I816" s="226"/>
      <c r="J816" s="226"/>
      <c r="K816" s="226"/>
      <c r="L816" s="226"/>
      <c r="M816" s="226"/>
      <c r="N816" s="226"/>
      <c r="O816" s="226"/>
      <c r="P816" s="226"/>
      <c r="Q816" s="226"/>
      <c r="R816" s="226"/>
      <c r="S816" s="226"/>
      <c r="T816" s="226"/>
      <c r="U816" s="226"/>
      <c r="V816" s="226"/>
      <c r="W816" s="226"/>
      <c r="X816" s="226"/>
    </row>
    <row r="817" spans="1:24" ht="14.25" x14ac:dyDescent="0.2">
      <c r="A817" s="226"/>
      <c r="B817" s="226"/>
      <c r="C817" s="226"/>
      <c r="D817" s="226"/>
      <c r="E817" s="226"/>
      <c r="F817" s="226"/>
      <c r="G817" s="226"/>
      <c r="H817" s="226"/>
      <c r="I817" s="226"/>
      <c r="J817" s="226"/>
      <c r="K817" s="226"/>
      <c r="L817" s="226"/>
      <c r="M817" s="226"/>
      <c r="N817" s="226"/>
      <c r="O817" s="226"/>
      <c r="P817" s="226"/>
      <c r="Q817" s="226"/>
      <c r="R817" s="226"/>
      <c r="S817" s="226"/>
      <c r="T817" s="226"/>
      <c r="U817" s="226"/>
      <c r="V817" s="226"/>
      <c r="W817" s="226"/>
      <c r="X817" s="226"/>
    </row>
    <row r="818" spans="1:24" ht="14.25" x14ac:dyDescent="0.2">
      <c r="A818" s="226"/>
      <c r="B818" s="226"/>
      <c r="C818" s="226"/>
      <c r="D818" s="226"/>
      <c r="E818" s="226"/>
      <c r="F818" s="226"/>
      <c r="G818" s="226"/>
      <c r="H818" s="226"/>
      <c r="I818" s="226"/>
      <c r="J818" s="226"/>
      <c r="K818" s="226"/>
      <c r="L818" s="226"/>
      <c r="M818" s="226"/>
      <c r="N818" s="226"/>
      <c r="O818" s="226"/>
      <c r="P818" s="226"/>
      <c r="Q818" s="226"/>
      <c r="R818" s="226"/>
      <c r="S818" s="226"/>
      <c r="T818" s="226"/>
      <c r="U818" s="226"/>
      <c r="V818" s="226"/>
      <c r="W818" s="226"/>
      <c r="X818" s="226"/>
    </row>
    <row r="819" spans="1:24" ht="14.25" x14ac:dyDescent="0.2">
      <c r="A819" s="226"/>
      <c r="B819" s="226"/>
      <c r="C819" s="226"/>
      <c r="D819" s="226"/>
      <c r="E819" s="226"/>
      <c r="F819" s="226"/>
      <c r="G819" s="226"/>
      <c r="H819" s="226"/>
      <c r="I819" s="226"/>
      <c r="J819" s="226"/>
      <c r="K819" s="226"/>
      <c r="L819" s="226"/>
      <c r="M819" s="226"/>
      <c r="N819" s="226"/>
      <c r="O819" s="226"/>
      <c r="P819" s="226"/>
      <c r="Q819" s="226"/>
      <c r="R819" s="226"/>
      <c r="S819" s="226"/>
      <c r="T819" s="226"/>
      <c r="U819" s="226"/>
      <c r="V819" s="226"/>
      <c r="W819" s="226"/>
      <c r="X819" s="226"/>
    </row>
    <row r="820" spans="1:24" ht="14.25" x14ac:dyDescent="0.2">
      <c r="A820" s="226"/>
      <c r="B820" s="226"/>
      <c r="C820" s="226"/>
      <c r="D820" s="226"/>
      <c r="E820" s="226"/>
      <c r="F820" s="226"/>
      <c r="G820" s="226"/>
      <c r="H820" s="226"/>
      <c r="I820" s="226"/>
      <c r="J820" s="226"/>
      <c r="K820" s="226"/>
      <c r="L820" s="226"/>
      <c r="M820" s="226"/>
      <c r="N820" s="226"/>
      <c r="O820" s="226"/>
      <c r="P820" s="226"/>
      <c r="Q820" s="226"/>
      <c r="R820" s="226"/>
      <c r="S820" s="226"/>
      <c r="T820" s="226"/>
      <c r="U820" s="226"/>
      <c r="V820" s="226"/>
      <c r="W820" s="226"/>
      <c r="X820" s="226"/>
    </row>
    <row r="821" spans="1:24" ht="14.25" x14ac:dyDescent="0.2">
      <c r="A821" s="226"/>
      <c r="B821" s="226"/>
      <c r="C821" s="226"/>
      <c r="D821" s="226"/>
      <c r="E821" s="226"/>
      <c r="F821" s="226"/>
      <c r="G821" s="226"/>
      <c r="H821" s="226"/>
      <c r="I821" s="226"/>
      <c r="J821" s="226"/>
      <c r="K821" s="226"/>
      <c r="L821" s="226"/>
      <c r="M821" s="226"/>
      <c r="N821" s="226"/>
      <c r="O821" s="226"/>
      <c r="P821" s="226"/>
      <c r="Q821" s="226"/>
      <c r="R821" s="226"/>
      <c r="S821" s="226"/>
      <c r="T821" s="226"/>
      <c r="U821" s="226"/>
      <c r="V821" s="226"/>
      <c r="W821" s="226"/>
      <c r="X821" s="226"/>
    </row>
    <row r="822" spans="1:24" ht="14.25" x14ac:dyDescent="0.2">
      <c r="A822" s="226"/>
      <c r="B822" s="226"/>
      <c r="C822" s="226"/>
      <c r="D822" s="226"/>
      <c r="E822" s="226"/>
      <c r="F822" s="226"/>
      <c r="G822" s="226"/>
      <c r="H822" s="226"/>
      <c r="I822" s="226"/>
      <c r="J822" s="226"/>
      <c r="K822" s="226"/>
      <c r="L822" s="226"/>
      <c r="M822" s="226"/>
      <c r="N822" s="226"/>
      <c r="O822" s="226"/>
      <c r="P822" s="226"/>
      <c r="Q822" s="226"/>
      <c r="R822" s="226"/>
      <c r="S822" s="226"/>
      <c r="T822" s="226"/>
      <c r="U822" s="226"/>
      <c r="V822" s="226"/>
      <c r="W822" s="226"/>
      <c r="X822" s="226"/>
    </row>
    <row r="823" spans="1:24" ht="14.25" x14ac:dyDescent="0.2">
      <c r="A823" s="226"/>
      <c r="B823" s="226"/>
      <c r="C823" s="226"/>
      <c r="D823" s="226"/>
      <c r="E823" s="226"/>
      <c r="F823" s="226"/>
      <c r="G823" s="226"/>
      <c r="H823" s="226"/>
      <c r="I823" s="226"/>
      <c r="J823" s="226"/>
      <c r="K823" s="226"/>
      <c r="L823" s="226"/>
      <c r="M823" s="226"/>
      <c r="N823" s="226"/>
      <c r="O823" s="226"/>
      <c r="P823" s="226"/>
      <c r="Q823" s="226"/>
      <c r="R823" s="226"/>
      <c r="S823" s="226"/>
      <c r="T823" s="226"/>
      <c r="U823" s="226"/>
      <c r="V823" s="226"/>
      <c r="W823" s="226"/>
      <c r="X823" s="226"/>
    </row>
    <row r="824" spans="1:24" ht="14.25" x14ac:dyDescent="0.2">
      <c r="A824" s="226"/>
      <c r="B824" s="226"/>
      <c r="C824" s="226"/>
      <c r="D824" s="226"/>
      <c r="E824" s="226"/>
      <c r="F824" s="226"/>
      <c r="G824" s="226"/>
      <c r="H824" s="226"/>
      <c r="I824" s="226"/>
      <c r="J824" s="226"/>
      <c r="K824" s="226"/>
      <c r="L824" s="226"/>
      <c r="M824" s="226"/>
      <c r="N824" s="226"/>
      <c r="O824" s="226"/>
      <c r="P824" s="226"/>
      <c r="Q824" s="226"/>
      <c r="R824" s="226"/>
      <c r="S824" s="226"/>
      <c r="T824" s="226"/>
      <c r="U824" s="226"/>
      <c r="V824" s="226"/>
      <c r="W824" s="226"/>
      <c r="X824" s="226"/>
    </row>
    <row r="825" spans="1:24" ht="14.25" x14ac:dyDescent="0.2">
      <c r="A825" s="226"/>
      <c r="B825" s="226"/>
      <c r="C825" s="226"/>
      <c r="D825" s="226"/>
      <c r="E825" s="226"/>
      <c r="F825" s="226"/>
      <c r="G825" s="226"/>
      <c r="H825" s="226"/>
      <c r="I825" s="226"/>
      <c r="J825" s="226"/>
      <c r="K825" s="226"/>
      <c r="L825" s="226"/>
      <c r="M825" s="226"/>
      <c r="N825" s="226"/>
      <c r="O825" s="226"/>
      <c r="P825" s="226"/>
      <c r="Q825" s="226"/>
      <c r="R825" s="226"/>
      <c r="S825" s="226"/>
      <c r="T825" s="226"/>
      <c r="U825" s="226"/>
      <c r="V825" s="226"/>
      <c r="W825" s="226"/>
      <c r="X825" s="226"/>
    </row>
    <row r="826" spans="1:24" ht="14.25" x14ac:dyDescent="0.2">
      <c r="A826" s="226"/>
      <c r="B826" s="226"/>
      <c r="C826" s="226"/>
      <c r="D826" s="226"/>
      <c r="E826" s="226"/>
      <c r="F826" s="226"/>
      <c r="G826" s="226"/>
      <c r="H826" s="226"/>
      <c r="I826" s="226"/>
      <c r="J826" s="226"/>
      <c r="K826" s="226"/>
      <c r="L826" s="226"/>
      <c r="M826" s="226"/>
      <c r="N826" s="226"/>
      <c r="O826" s="226"/>
      <c r="P826" s="226"/>
      <c r="Q826" s="226"/>
      <c r="R826" s="226"/>
      <c r="S826" s="226"/>
      <c r="T826" s="226"/>
      <c r="U826" s="226"/>
      <c r="V826" s="226"/>
      <c r="W826" s="226"/>
      <c r="X826" s="226"/>
    </row>
    <row r="827" spans="1:24" ht="14.25" x14ac:dyDescent="0.2">
      <c r="A827" s="226"/>
      <c r="B827" s="226"/>
      <c r="C827" s="226"/>
      <c r="D827" s="226"/>
      <c r="E827" s="226"/>
      <c r="F827" s="226"/>
      <c r="G827" s="226"/>
      <c r="H827" s="226"/>
      <c r="I827" s="226"/>
      <c r="J827" s="226"/>
      <c r="K827" s="226"/>
      <c r="L827" s="226"/>
      <c r="M827" s="226"/>
      <c r="N827" s="226"/>
      <c r="O827" s="226"/>
      <c r="P827" s="226"/>
      <c r="Q827" s="226"/>
      <c r="R827" s="226"/>
      <c r="S827" s="226"/>
      <c r="T827" s="226"/>
      <c r="U827" s="226"/>
      <c r="V827" s="226"/>
      <c r="W827" s="226"/>
      <c r="X827" s="226"/>
    </row>
    <row r="828" spans="1:24" ht="14.25" x14ac:dyDescent="0.2">
      <c r="A828" s="226"/>
      <c r="B828" s="226"/>
      <c r="C828" s="226"/>
      <c r="D828" s="226"/>
      <c r="E828" s="226"/>
      <c r="F828" s="226"/>
      <c r="G828" s="226"/>
      <c r="H828" s="226"/>
      <c r="I828" s="226"/>
      <c r="J828" s="226"/>
      <c r="K828" s="226"/>
      <c r="L828" s="226"/>
      <c r="M828" s="226"/>
      <c r="N828" s="226"/>
      <c r="O828" s="226"/>
      <c r="P828" s="226"/>
      <c r="Q828" s="226"/>
      <c r="R828" s="226"/>
      <c r="S828" s="226"/>
      <c r="T828" s="226"/>
      <c r="U828" s="226"/>
      <c r="V828" s="226"/>
      <c r="W828" s="226"/>
      <c r="X828" s="226"/>
    </row>
    <row r="829" spans="1:24" ht="14.25" x14ac:dyDescent="0.2">
      <c r="A829" s="226"/>
      <c r="B829" s="226"/>
      <c r="C829" s="226"/>
      <c r="D829" s="226"/>
      <c r="E829" s="226"/>
      <c r="F829" s="226"/>
      <c r="G829" s="226"/>
      <c r="H829" s="226"/>
      <c r="I829" s="226"/>
      <c r="J829" s="226"/>
      <c r="K829" s="226"/>
      <c r="L829" s="226"/>
      <c r="M829" s="226"/>
      <c r="N829" s="226"/>
      <c r="O829" s="226"/>
      <c r="P829" s="226"/>
      <c r="Q829" s="226"/>
      <c r="R829" s="226"/>
      <c r="S829" s="226"/>
      <c r="T829" s="226"/>
      <c r="U829" s="226"/>
      <c r="V829" s="226"/>
      <c r="W829" s="226"/>
      <c r="X829" s="226"/>
    </row>
    <row r="830" spans="1:24" ht="14.25" x14ac:dyDescent="0.2">
      <c r="A830" s="226"/>
      <c r="B830" s="226"/>
      <c r="C830" s="226"/>
      <c r="D830" s="226"/>
      <c r="E830" s="226"/>
      <c r="F830" s="226"/>
      <c r="G830" s="226"/>
      <c r="H830" s="226"/>
      <c r="I830" s="226"/>
      <c r="J830" s="226"/>
      <c r="K830" s="226"/>
      <c r="L830" s="226"/>
      <c r="M830" s="226"/>
      <c r="N830" s="226"/>
      <c r="O830" s="226"/>
      <c r="P830" s="226"/>
      <c r="Q830" s="226"/>
      <c r="R830" s="226"/>
      <c r="S830" s="226"/>
      <c r="T830" s="226"/>
      <c r="U830" s="226"/>
      <c r="V830" s="226"/>
      <c r="W830" s="226"/>
      <c r="X830" s="226"/>
    </row>
    <row r="831" spans="1:24" ht="14.25" x14ac:dyDescent="0.2">
      <c r="A831" s="226"/>
      <c r="B831" s="226"/>
      <c r="C831" s="226"/>
      <c r="D831" s="226"/>
      <c r="E831" s="226"/>
      <c r="F831" s="226"/>
      <c r="G831" s="226"/>
      <c r="H831" s="226"/>
      <c r="I831" s="226"/>
      <c r="J831" s="226"/>
      <c r="K831" s="226"/>
      <c r="L831" s="226"/>
      <c r="M831" s="226"/>
      <c r="N831" s="226"/>
      <c r="O831" s="226"/>
      <c r="P831" s="226"/>
      <c r="Q831" s="226"/>
      <c r="R831" s="226"/>
      <c r="S831" s="226"/>
      <c r="T831" s="226"/>
      <c r="U831" s="226"/>
      <c r="V831" s="226"/>
      <c r="W831" s="226"/>
      <c r="X831" s="226"/>
    </row>
    <row r="832" spans="1:24" ht="14.25" x14ac:dyDescent="0.2">
      <c r="A832" s="226"/>
      <c r="B832" s="226"/>
      <c r="C832" s="226"/>
      <c r="D832" s="226"/>
      <c r="E832" s="226"/>
      <c r="F832" s="226"/>
      <c r="G832" s="226"/>
      <c r="H832" s="226"/>
      <c r="I832" s="226"/>
      <c r="J832" s="226"/>
      <c r="K832" s="226"/>
      <c r="L832" s="226"/>
      <c r="M832" s="226"/>
      <c r="N832" s="226"/>
      <c r="O832" s="226"/>
      <c r="P832" s="226"/>
      <c r="Q832" s="226"/>
      <c r="R832" s="226"/>
      <c r="S832" s="226"/>
      <c r="T832" s="226"/>
      <c r="U832" s="226"/>
      <c r="V832" s="226"/>
      <c r="W832" s="226"/>
      <c r="X832" s="226"/>
    </row>
    <row r="833" spans="1:24" ht="14.25" x14ac:dyDescent="0.2">
      <c r="A833" s="226"/>
      <c r="B833" s="226"/>
      <c r="C833" s="226"/>
      <c r="D833" s="226"/>
      <c r="E833" s="226"/>
      <c r="F833" s="226"/>
      <c r="G833" s="226"/>
      <c r="H833" s="226"/>
      <c r="I833" s="226"/>
      <c r="J833" s="226"/>
      <c r="K833" s="226"/>
      <c r="L833" s="226"/>
      <c r="M833" s="226"/>
      <c r="N833" s="226"/>
      <c r="O833" s="226"/>
      <c r="P833" s="226"/>
      <c r="Q833" s="226"/>
      <c r="R833" s="226"/>
      <c r="S833" s="226"/>
      <c r="T833" s="226"/>
      <c r="U833" s="226"/>
      <c r="V833" s="226"/>
      <c r="W833" s="226"/>
      <c r="X833" s="226"/>
    </row>
    <row r="834" spans="1:24" ht="14.25" x14ac:dyDescent="0.2">
      <c r="A834" s="226"/>
      <c r="B834" s="226"/>
      <c r="C834" s="226"/>
      <c r="D834" s="226"/>
      <c r="E834" s="226"/>
      <c r="F834" s="226"/>
      <c r="G834" s="226"/>
      <c r="H834" s="226"/>
      <c r="I834" s="226"/>
      <c r="J834" s="226"/>
      <c r="K834" s="226"/>
      <c r="L834" s="226"/>
      <c r="M834" s="226"/>
      <c r="N834" s="226"/>
      <c r="O834" s="226"/>
      <c r="P834" s="226"/>
      <c r="Q834" s="226"/>
      <c r="R834" s="226"/>
      <c r="S834" s="226"/>
      <c r="T834" s="226"/>
      <c r="U834" s="226"/>
      <c r="V834" s="226"/>
      <c r="W834" s="226"/>
      <c r="X834" s="226"/>
    </row>
    <row r="835" spans="1:24" ht="14.25" x14ac:dyDescent="0.2">
      <c r="A835" s="226"/>
      <c r="B835" s="226"/>
      <c r="C835" s="226"/>
      <c r="D835" s="226"/>
      <c r="E835" s="226"/>
      <c r="F835" s="226"/>
      <c r="G835" s="226"/>
      <c r="H835" s="226"/>
      <c r="I835" s="226"/>
      <c r="J835" s="226"/>
      <c r="K835" s="226"/>
      <c r="L835" s="226"/>
      <c r="M835" s="226"/>
      <c r="N835" s="226"/>
      <c r="O835" s="226"/>
      <c r="P835" s="226"/>
      <c r="Q835" s="226"/>
      <c r="R835" s="226"/>
      <c r="S835" s="226"/>
      <c r="T835" s="226"/>
      <c r="U835" s="226"/>
      <c r="V835" s="226"/>
      <c r="W835" s="226"/>
      <c r="X835" s="226"/>
    </row>
    <row r="836" spans="1:24" ht="14.25" x14ac:dyDescent="0.2">
      <c r="A836" s="226"/>
      <c r="B836" s="226"/>
      <c r="C836" s="226"/>
      <c r="D836" s="226"/>
      <c r="E836" s="226"/>
      <c r="F836" s="226"/>
      <c r="G836" s="226"/>
      <c r="H836" s="226"/>
      <c r="I836" s="226"/>
      <c r="J836" s="226"/>
      <c r="K836" s="226"/>
      <c r="L836" s="226"/>
      <c r="M836" s="226"/>
      <c r="N836" s="226"/>
      <c r="O836" s="226"/>
      <c r="P836" s="226"/>
      <c r="Q836" s="226"/>
      <c r="R836" s="226"/>
      <c r="S836" s="226"/>
      <c r="T836" s="226"/>
      <c r="U836" s="226"/>
      <c r="V836" s="226"/>
      <c r="W836" s="226"/>
      <c r="X836" s="226"/>
    </row>
    <row r="837" spans="1:24" ht="14.25" x14ac:dyDescent="0.2">
      <c r="A837" s="226"/>
      <c r="B837" s="226"/>
      <c r="C837" s="226"/>
      <c r="D837" s="226"/>
      <c r="E837" s="226"/>
      <c r="F837" s="226"/>
      <c r="G837" s="226"/>
      <c r="H837" s="226"/>
      <c r="I837" s="226"/>
      <c r="J837" s="226"/>
      <c r="K837" s="226"/>
      <c r="L837" s="226"/>
      <c r="M837" s="226"/>
      <c r="N837" s="226"/>
      <c r="O837" s="226"/>
      <c r="P837" s="226"/>
      <c r="Q837" s="226"/>
      <c r="R837" s="226"/>
      <c r="S837" s="226"/>
      <c r="T837" s="226"/>
      <c r="U837" s="226"/>
      <c r="V837" s="226"/>
      <c r="W837" s="226"/>
      <c r="X837" s="226"/>
    </row>
    <row r="838" spans="1:24" ht="14.25" x14ac:dyDescent="0.2">
      <c r="A838" s="226"/>
      <c r="B838" s="226"/>
      <c r="C838" s="226"/>
      <c r="D838" s="226"/>
      <c r="E838" s="226"/>
      <c r="F838" s="226"/>
      <c r="G838" s="226"/>
      <c r="H838" s="226"/>
      <c r="I838" s="226"/>
      <c r="J838" s="226"/>
      <c r="K838" s="226"/>
      <c r="L838" s="226"/>
      <c r="M838" s="226"/>
      <c r="N838" s="226"/>
      <c r="O838" s="226"/>
      <c r="P838" s="226"/>
      <c r="Q838" s="226"/>
      <c r="R838" s="226"/>
      <c r="S838" s="226"/>
      <c r="T838" s="226"/>
      <c r="U838" s="226"/>
      <c r="V838" s="226"/>
      <c r="W838" s="226"/>
      <c r="X838" s="226"/>
    </row>
    <row r="839" spans="1:24" ht="14.25" x14ac:dyDescent="0.2">
      <c r="A839" s="226"/>
      <c r="B839" s="226"/>
      <c r="C839" s="226"/>
      <c r="D839" s="226"/>
      <c r="E839" s="226"/>
      <c r="F839" s="226"/>
      <c r="G839" s="226"/>
      <c r="H839" s="226"/>
      <c r="I839" s="226"/>
      <c r="J839" s="226"/>
      <c r="K839" s="226"/>
      <c r="L839" s="226"/>
      <c r="M839" s="226"/>
      <c r="N839" s="226"/>
      <c r="O839" s="226"/>
      <c r="P839" s="226"/>
      <c r="Q839" s="226"/>
      <c r="R839" s="226"/>
      <c r="S839" s="226"/>
      <c r="T839" s="226"/>
      <c r="U839" s="226"/>
      <c r="V839" s="226"/>
      <c r="W839" s="226"/>
      <c r="X839" s="226"/>
    </row>
    <row r="840" spans="1:24" ht="14.25" x14ac:dyDescent="0.2">
      <c r="A840" s="226"/>
      <c r="B840" s="226"/>
      <c r="C840" s="226"/>
      <c r="D840" s="226"/>
      <c r="E840" s="226"/>
      <c r="F840" s="226"/>
      <c r="G840" s="226"/>
      <c r="H840" s="226"/>
      <c r="I840" s="226"/>
      <c r="J840" s="226"/>
      <c r="K840" s="226"/>
      <c r="L840" s="226"/>
      <c r="M840" s="226"/>
      <c r="N840" s="226"/>
      <c r="O840" s="226"/>
      <c r="P840" s="226"/>
      <c r="Q840" s="226"/>
      <c r="R840" s="226"/>
      <c r="S840" s="226"/>
      <c r="T840" s="226"/>
      <c r="U840" s="226"/>
      <c r="V840" s="226"/>
      <c r="W840" s="226"/>
      <c r="X840" s="226"/>
    </row>
    <row r="841" spans="1:24" ht="14.25" x14ac:dyDescent="0.2">
      <c r="A841" s="226"/>
      <c r="B841" s="226"/>
      <c r="C841" s="226"/>
      <c r="D841" s="226"/>
      <c r="E841" s="226"/>
      <c r="F841" s="226"/>
      <c r="G841" s="226"/>
      <c r="H841" s="226"/>
      <c r="I841" s="226"/>
      <c r="J841" s="226"/>
      <c r="K841" s="226"/>
      <c r="L841" s="226"/>
      <c r="M841" s="226"/>
      <c r="N841" s="226"/>
      <c r="O841" s="226"/>
      <c r="P841" s="226"/>
      <c r="Q841" s="226"/>
      <c r="R841" s="226"/>
      <c r="S841" s="226"/>
      <c r="T841" s="226"/>
      <c r="U841" s="226"/>
      <c r="V841" s="226"/>
      <c r="W841" s="226"/>
      <c r="X841" s="226"/>
    </row>
    <row r="842" spans="1:24" ht="14.25" x14ac:dyDescent="0.2">
      <c r="A842" s="226"/>
      <c r="B842" s="226"/>
      <c r="C842" s="226"/>
      <c r="D842" s="226"/>
      <c r="E842" s="226"/>
      <c r="F842" s="226"/>
      <c r="G842" s="226"/>
      <c r="H842" s="226"/>
      <c r="I842" s="226"/>
      <c r="J842" s="226"/>
      <c r="K842" s="226"/>
      <c r="L842" s="226"/>
      <c r="M842" s="226"/>
      <c r="N842" s="226"/>
      <c r="O842" s="226"/>
      <c r="P842" s="226"/>
      <c r="Q842" s="226"/>
      <c r="R842" s="226"/>
      <c r="S842" s="226"/>
      <c r="T842" s="226"/>
      <c r="U842" s="226"/>
      <c r="V842" s="226"/>
      <c r="W842" s="226"/>
      <c r="X842" s="226"/>
    </row>
    <row r="843" spans="1:24" ht="14.25" x14ac:dyDescent="0.2">
      <c r="A843" s="226"/>
      <c r="B843" s="226"/>
      <c r="C843" s="226"/>
      <c r="D843" s="226"/>
      <c r="E843" s="226"/>
      <c r="F843" s="226"/>
      <c r="G843" s="226"/>
      <c r="H843" s="226"/>
      <c r="I843" s="226"/>
      <c r="J843" s="226"/>
      <c r="K843" s="226"/>
      <c r="L843" s="226"/>
      <c r="M843" s="226"/>
      <c r="N843" s="226"/>
      <c r="O843" s="226"/>
      <c r="P843" s="226"/>
      <c r="Q843" s="226"/>
      <c r="R843" s="226"/>
      <c r="S843" s="226"/>
      <c r="T843" s="226"/>
      <c r="U843" s="226"/>
      <c r="V843" s="226"/>
      <c r="W843" s="226"/>
      <c r="X843" s="226"/>
    </row>
    <row r="844" spans="1:24" ht="14.25" x14ac:dyDescent="0.2">
      <c r="A844" s="226"/>
      <c r="B844" s="226"/>
      <c r="C844" s="226"/>
      <c r="D844" s="226"/>
      <c r="E844" s="226"/>
      <c r="F844" s="226"/>
      <c r="G844" s="226"/>
      <c r="H844" s="226"/>
      <c r="I844" s="226"/>
      <c r="J844" s="226"/>
      <c r="K844" s="226"/>
      <c r="L844" s="226"/>
      <c r="M844" s="226"/>
      <c r="N844" s="226"/>
      <c r="O844" s="226"/>
      <c r="P844" s="226"/>
      <c r="Q844" s="226"/>
      <c r="R844" s="226"/>
      <c r="S844" s="226"/>
      <c r="T844" s="226"/>
      <c r="U844" s="226"/>
      <c r="V844" s="226"/>
      <c r="W844" s="226"/>
      <c r="X844" s="226"/>
    </row>
    <row r="845" spans="1:24" ht="14.25" x14ac:dyDescent="0.2">
      <c r="A845" s="226"/>
      <c r="B845" s="226"/>
      <c r="C845" s="226"/>
      <c r="D845" s="226"/>
      <c r="E845" s="226"/>
      <c r="F845" s="226"/>
      <c r="G845" s="226"/>
      <c r="H845" s="226"/>
      <c r="I845" s="226"/>
      <c r="J845" s="226"/>
      <c r="K845" s="226"/>
      <c r="L845" s="226"/>
      <c r="M845" s="226"/>
      <c r="N845" s="226"/>
      <c r="O845" s="226"/>
      <c r="P845" s="226"/>
      <c r="Q845" s="226"/>
      <c r="R845" s="226"/>
      <c r="S845" s="226"/>
      <c r="T845" s="226"/>
      <c r="U845" s="226"/>
      <c r="V845" s="226"/>
      <c r="W845" s="226"/>
      <c r="X845" s="226"/>
    </row>
    <row r="846" spans="1:24" ht="14.25" x14ac:dyDescent="0.2">
      <c r="A846" s="226"/>
      <c r="B846" s="226"/>
      <c r="C846" s="226"/>
      <c r="D846" s="226"/>
      <c r="E846" s="226"/>
      <c r="F846" s="226"/>
      <c r="G846" s="226"/>
      <c r="H846" s="226"/>
      <c r="I846" s="226"/>
      <c r="J846" s="226"/>
      <c r="K846" s="226"/>
      <c r="L846" s="226"/>
      <c r="M846" s="226"/>
      <c r="N846" s="226"/>
      <c r="O846" s="226"/>
      <c r="P846" s="226"/>
      <c r="Q846" s="226"/>
      <c r="R846" s="226"/>
      <c r="S846" s="226"/>
      <c r="T846" s="226"/>
      <c r="U846" s="226"/>
      <c r="V846" s="226"/>
      <c r="W846" s="226"/>
      <c r="X846" s="226"/>
    </row>
    <row r="847" spans="1:24" ht="14.25" x14ac:dyDescent="0.2">
      <c r="A847" s="226"/>
      <c r="B847" s="226"/>
      <c r="C847" s="226"/>
      <c r="D847" s="226"/>
      <c r="E847" s="226"/>
      <c r="F847" s="226"/>
      <c r="G847" s="226"/>
      <c r="H847" s="226"/>
      <c r="I847" s="226"/>
      <c r="J847" s="226"/>
      <c r="K847" s="226"/>
      <c r="L847" s="226"/>
      <c r="M847" s="226"/>
      <c r="N847" s="226"/>
      <c r="O847" s="226"/>
      <c r="P847" s="226"/>
      <c r="Q847" s="226"/>
      <c r="R847" s="226"/>
      <c r="S847" s="226"/>
      <c r="T847" s="226"/>
      <c r="U847" s="226"/>
      <c r="V847" s="226"/>
      <c r="W847" s="226"/>
      <c r="X847" s="226"/>
    </row>
    <row r="848" spans="1:24" ht="14.25" x14ac:dyDescent="0.2">
      <c r="A848" s="226"/>
      <c r="B848" s="226"/>
      <c r="C848" s="226"/>
      <c r="D848" s="226"/>
      <c r="E848" s="226"/>
      <c r="F848" s="226"/>
      <c r="G848" s="226"/>
      <c r="H848" s="226"/>
      <c r="I848" s="226"/>
      <c r="J848" s="226"/>
      <c r="K848" s="226"/>
      <c r="L848" s="226"/>
      <c r="M848" s="226"/>
      <c r="N848" s="226"/>
      <c r="O848" s="226"/>
      <c r="P848" s="226"/>
      <c r="Q848" s="226"/>
      <c r="R848" s="226"/>
      <c r="S848" s="226"/>
      <c r="T848" s="226"/>
      <c r="U848" s="226"/>
      <c r="V848" s="226"/>
      <c r="W848" s="226"/>
      <c r="X848" s="226"/>
    </row>
    <row r="849" spans="1:24" ht="14.25" x14ac:dyDescent="0.2">
      <c r="A849" s="226"/>
      <c r="B849" s="226"/>
      <c r="C849" s="226"/>
      <c r="D849" s="226"/>
      <c r="E849" s="226"/>
      <c r="F849" s="226"/>
      <c r="G849" s="226"/>
      <c r="H849" s="226"/>
      <c r="I849" s="226"/>
      <c r="J849" s="226"/>
      <c r="K849" s="226"/>
      <c r="L849" s="226"/>
      <c r="M849" s="226"/>
      <c r="N849" s="226"/>
      <c r="O849" s="226"/>
      <c r="P849" s="226"/>
      <c r="Q849" s="226"/>
      <c r="R849" s="226"/>
      <c r="S849" s="226"/>
      <c r="T849" s="226"/>
      <c r="U849" s="226"/>
      <c r="V849" s="226"/>
      <c r="W849" s="226"/>
      <c r="X849" s="226"/>
    </row>
    <row r="850" spans="1:24" ht="14.25" x14ac:dyDescent="0.2">
      <c r="A850" s="226"/>
      <c r="B850" s="226"/>
      <c r="C850" s="226"/>
      <c r="D850" s="226"/>
      <c r="E850" s="226"/>
      <c r="F850" s="226"/>
      <c r="G850" s="226"/>
      <c r="H850" s="226"/>
      <c r="I850" s="226"/>
      <c r="J850" s="226"/>
      <c r="K850" s="226"/>
      <c r="L850" s="226"/>
      <c r="M850" s="226"/>
      <c r="N850" s="226"/>
      <c r="O850" s="226"/>
      <c r="P850" s="226"/>
      <c r="Q850" s="226"/>
      <c r="R850" s="226"/>
      <c r="S850" s="226"/>
      <c r="T850" s="226"/>
      <c r="U850" s="226"/>
      <c r="V850" s="226"/>
      <c r="W850" s="226"/>
      <c r="X850" s="226"/>
    </row>
    <row r="851" spans="1:24" ht="14.25" x14ac:dyDescent="0.2">
      <c r="A851" s="226"/>
      <c r="B851" s="226"/>
      <c r="C851" s="226"/>
      <c r="D851" s="226"/>
      <c r="E851" s="226"/>
      <c r="F851" s="226"/>
      <c r="G851" s="226"/>
      <c r="H851" s="226"/>
      <c r="I851" s="226"/>
      <c r="J851" s="226"/>
      <c r="K851" s="226"/>
      <c r="L851" s="226"/>
      <c r="M851" s="226"/>
      <c r="N851" s="226"/>
      <c r="O851" s="226"/>
      <c r="P851" s="226"/>
      <c r="Q851" s="226"/>
      <c r="R851" s="226"/>
      <c r="S851" s="226"/>
      <c r="T851" s="226"/>
      <c r="U851" s="226"/>
      <c r="V851" s="226"/>
      <c r="W851" s="226"/>
      <c r="X851" s="226"/>
    </row>
    <row r="852" spans="1:24" ht="14.25" x14ac:dyDescent="0.2">
      <c r="A852" s="226"/>
      <c r="B852" s="226"/>
      <c r="C852" s="226"/>
      <c r="D852" s="226"/>
      <c r="E852" s="226"/>
      <c r="F852" s="226"/>
      <c r="G852" s="226"/>
      <c r="H852" s="226"/>
      <c r="I852" s="226"/>
      <c r="J852" s="226"/>
      <c r="K852" s="226"/>
      <c r="L852" s="226"/>
      <c r="M852" s="226"/>
      <c r="N852" s="226"/>
      <c r="O852" s="226"/>
      <c r="P852" s="226"/>
      <c r="Q852" s="226"/>
      <c r="R852" s="226"/>
      <c r="S852" s="226"/>
      <c r="T852" s="226"/>
      <c r="U852" s="226"/>
      <c r="V852" s="226"/>
      <c r="W852" s="226"/>
      <c r="X852" s="226"/>
    </row>
    <row r="853" spans="1:24" ht="14.25" x14ac:dyDescent="0.2">
      <c r="A853" s="226"/>
      <c r="B853" s="226"/>
      <c r="C853" s="226"/>
      <c r="D853" s="226"/>
      <c r="E853" s="226"/>
      <c r="F853" s="226"/>
      <c r="G853" s="226"/>
      <c r="H853" s="226"/>
      <c r="I853" s="226"/>
      <c r="J853" s="226"/>
      <c r="K853" s="226"/>
      <c r="L853" s="226"/>
      <c r="M853" s="226"/>
      <c r="N853" s="226"/>
      <c r="O853" s="226"/>
      <c r="P853" s="226"/>
      <c r="Q853" s="226"/>
      <c r="R853" s="226"/>
      <c r="S853" s="226"/>
      <c r="T853" s="226"/>
      <c r="U853" s="226"/>
      <c r="V853" s="226"/>
      <c r="W853" s="226"/>
      <c r="X853" s="226"/>
    </row>
    <row r="854" spans="1:24" ht="14.25" x14ac:dyDescent="0.2">
      <c r="A854" s="226"/>
      <c r="B854" s="226"/>
      <c r="C854" s="226"/>
      <c r="D854" s="226"/>
      <c r="E854" s="226"/>
      <c r="F854" s="226"/>
      <c r="G854" s="226"/>
      <c r="H854" s="226"/>
      <c r="I854" s="226"/>
      <c r="J854" s="226"/>
      <c r="K854" s="226"/>
      <c r="L854" s="226"/>
      <c r="M854" s="226"/>
      <c r="N854" s="226"/>
      <c r="O854" s="226"/>
      <c r="P854" s="226"/>
      <c r="Q854" s="226"/>
      <c r="R854" s="226"/>
      <c r="S854" s="226"/>
      <c r="T854" s="226"/>
      <c r="U854" s="226"/>
      <c r="V854" s="226"/>
      <c r="W854" s="226"/>
      <c r="X854" s="226"/>
    </row>
    <row r="855" spans="1:24" ht="14.25" x14ac:dyDescent="0.2">
      <c r="A855" s="226"/>
      <c r="B855" s="226"/>
      <c r="C855" s="226"/>
      <c r="D855" s="226"/>
      <c r="E855" s="226"/>
      <c r="F855" s="226"/>
      <c r="G855" s="226"/>
      <c r="H855" s="226"/>
      <c r="I855" s="226"/>
      <c r="J855" s="226"/>
      <c r="K855" s="226"/>
      <c r="L855" s="226"/>
      <c r="M855" s="226"/>
      <c r="N855" s="226"/>
      <c r="O855" s="226"/>
      <c r="P855" s="226"/>
      <c r="Q855" s="226"/>
      <c r="R855" s="226"/>
      <c r="S855" s="226"/>
      <c r="T855" s="226"/>
      <c r="U855" s="226"/>
      <c r="V855" s="226"/>
      <c r="W855" s="226"/>
      <c r="X855" s="226"/>
    </row>
    <row r="856" spans="1:24" ht="14.25" x14ac:dyDescent="0.2">
      <c r="A856" s="226"/>
      <c r="B856" s="226"/>
      <c r="C856" s="226"/>
      <c r="D856" s="226"/>
      <c r="E856" s="226"/>
      <c r="F856" s="226"/>
      <c r="G856" s="226"/>
      <c r="H856" s="226"/>
      <c r="I856" s="226"/>
      <c r="J856" s="226"/>
      <c r="K856" s="226"/>
      <c r="L856" s="226"/>
      <c r="M856" s="226"/>
      <c r="N856" s="226"/>
      <c r="O856" s="226"/>
      <c r="P856" s="226"/>
      <c r="Q856" s="226"/>
      <c r="R856" s="226"/>
      <c r="S856" s="226"/>
      <c r="T856" s="226"/>
      <c r="U856" s="226"/>
      <c r="V856" s="226"/>
      <c r="W856" s="226"/>
      <c r="X856" s="226"/>
    </row>
    <row r="857" spans="1:24" ht="14.25" x14ac:dyDescent="0.2">
      <c r="A857" s="226"/>
      <c r="B857" s="226"/>
      <c r="C857" s="226"/>
      <c r="D857" s="226"/>
      <c r="E857" s="226"/>
      <c r="F857" s="226"/>
      <c r="G857" s="226"/>
      <c r="H857" s="226"/>
      <c r="I857" s="226"/>
      <c r="J857" s="226"/>
      <c r="K857" s="226"/>
      <c r="L857" s="226"/>
      <c r="M857" s="226"/>
      <c r="N857" s="226"/>
      <c r="O857" s="226"/>
      <c r="P857" s="226"/>
      <c r="Q857" s="226"/>
      <c r="R857" s="226"/>
      <c r="S857" s="226"/>
      <c r="T857" s="226"/>
      <c r="U857" s="226"/>
      <c r="V857" s="226"/>
      <c r="W857" s="226"/>
      <c r="X857" s="226"/>
    </row>
    <row r="858" spans="1:24" ht="14.25" x14ac:dyDescent="0.2">
      <c r="A858" s="226"/>
      <c r="B858" s="226"/>
      <c r="C858" s="226"/>
      <c r="D858" s="226"/>
      <c r="E858" s="226"/>
      <c r="F858" s="226"/>
      <c r="G858" s="226"/>
      <c r="H858" s="226"/>
      <c r="I858" s="226"/>
      <c r="J858" s="226"/>
      <c r="K858" s="226"/>
      <c r="L858" s="226"/>
      <c r="M858" s="226"/>
      <c r="N858" s="226"/>
      <c r="O858" s="226"/>
      <c r="P858" s="226"/>
      <c r="Q858" s="226"/>
      <c r="R858" s="226"/>
      <c r="S858" s="226"/>
      <c r="T858" s="226"/>
      <c r="U858" s="226"/>
      <c r="V858" s="226"/>
      <c r="W858" s="226"/>
      <c r="X858" s="226"/>
    </row>
    <row r="859" spans="1:24" ht="14.25" x14ac:dyDescent="0.2">
      <c r="A859" s="226"/>
      <c r="B859" s="226"/>
      <c r="C859" s="226"/>
      <c r="D859" s="226"/>
      <c r="E859" s="226"/>
      <c r="F859" s="226"/>
      <c r="G859" s="226"/>
      <c r="H859" s="226"/>
      <c r="I859" s="226"/>
      <c r="J859" s="226"/>
      <c r="K859" s="226"/>
      <c r="L859" s="226"/>
      <c r="M859" s="226"/>
      <c r="N859" s="226"/>
      <c r="O859" s="226"/>
      <c r="P859" s="226"/>
      <c r="Q859" s="226"/>
      <c r="R859" s="226"/>
      <c r="S859" s="226"/>
      <c r="T859" s="226"/>
      <c r="U859" s="226"/>
      <c r="V859" s="226"/>
      <c r="W859" s="226"/>
      <c r="X859" s="226"/>
    </row>
    <row r="860" spans="1:24" ht="14.25" x14ac:dyDescent="0.2">
      <c r="A860" s="226"/>
      <c r="B860" s="226"/>
      <c r="C860" s="226"/>
      <c r="D860" s="226"/>
      <c r="E860" s="226"/>
      <c r="F860" s="226"/>
      <c r="G860" s="226"/>
      <c r="H860" s="226"/>
      <c r="I860" s="226"/>
      <c r="J860" s="226"/>
      <c r="K860" s="226"/>
      <c r="L860" s="226"/>
      <c r="M860" s="226"/>
      <c r="N860" s="226"/>
      <c r="O860" s="226"/>
      <c r="P860" s="226"/>
      <c r="Q860" s="226"/>
      <c r="R860" s="226"/>
      <c r="S860" s="226"/>
      <c r="T860" s="226"/>
      <c r="U860" s="226"/>
      <c r="V860" s="226"/>
      <c r="W860" s="226"/>
      <c r="X860" s="226"/>
    </row>
    <row r="861" spans="1:24" ht="14.25" x14ac:dyDescent="0.2">
      <c r="A861" s="226"/>
      <c r="B861" s="226"/>
      <c r="C861" s="226"/>
      <c r="D861" s="226"/>
      <c r="E861" s="226"/>
      <c r="F861" s="226"/>
      <c r="G861" s="226"/>
      <c r="H861" s="226"/>
      <c r="I861" s="226"/>
      <c r="J861" s="226"/>
      <c r="K861" s="226"/>
      <c r="L861" s="226"/>
      <c r="M861" s="226"/>
      <c r="N861" s="226"/>
      <c r="O861" s="226"/>
      <c r="P861" s="226"/>
      <c r="Q861" s="226"/>
      <c r="R861" s="226"/>
      <c r="S861" s="226"/>
      <c r="T861" s="226"/>
      <c r="U861" s="226"/>
      <c r="V861" s="226"/>
      <c r="W861" s="226"/>
      <c r="X861" s="226"/>
    </row>
    <row r="862" spans="1:24" ht="14.25" x14ac:dyDescent="0.2">
      <c r="A862" s="226"/>
      <c r="B862" s="226"/>
      <c r="C862" s="226"/>
      <c r="D862" s="226"/>
      <c r="E862" s="226"/>
      <c r="F862" s="226"/>
      <c r="G862" s="226"/>
      <c r="H862" s="226"/>
      <c r="I862" s="226"/>
      <c r="J862" s="226"/>
      <c r="K862" s="226"/>
      <c r="L862" s="226"/>
      <c r="M862" s="226"/>
      <c r="N862" s="226"/>
      <c r="O862" s="226"/>
      <c r="P862" s="226"/>
      <c r="Q862" s="226"/>
      <c r="R862" s="226"/>
      <c r="S862" s="226"/>
      <c r="T862" s="226"/>
      <c r="U862" s="226"/>
      <c r="V862" s="226"/>
      <c r="W862" s="226"/>
      <c r="X862" s="226"/>
    </row>
    <row r="863" spans="1:24" ht="14.25" x14ac:dyDescent="0.2">
      <c r="A863" s="226"/>
      <c r="B863" s="226"/>
      <c r="C863" s="226"/>
      <c r="D863" s="226"/>
      <c r="E863" s="226"/>
      <c r="F863" s="226"/>
      <c r="G863" s="226"/>
      <c r="H863" s="226"/>
      <c r="I863" s="226"/>
      <c r="J863" s="226"/>
      <c r="K863" s="226"/>
      <c r="L863" s="226"/>
      <c r="M863" s="226"/>
      <c r="N863" s="226"/>
      <c r="O863" s="226"/>
      <c r="P863" s="226"/>
      <c r="Q863" s="226"/>
      <c r="R863" s="226"/>
      <c r="S863" s="226"/>
      <c r="T863" s="226"/>
      <c r="U863" s="226"/>
      <c r="V863" s="226"/>
      <c r="W863" s="226"/>
      <c r="X863" s="226"/>
    </row>
    <row r="864" spans="1:24" ht="14.25" x14ac:dyDescent="0.2">
      <c r="A864" s="226"/>
      <c r="B864" s="226"/>
      <c r="C864" s="226"/>
      <c r="D864" s="226"/>
      <c r="E864" s="226"/>
      <c r="F864" s="226"/>
      <c r="G864" s="226"/>
      <c r="H864" s="226"/>
      <c r="I864" s="226"/>
      <c r="J864" s="226"/>
      <c r="K864" s="226"/>
      <c r="L864" s="226"/>
      <c r="M864" s="226"/>
      <c r="N864" s="226"/>
      <c r="O864" s="226"/>
      <c r="P864" s="226"/>
      <c r="Q864" s="226"/>
      <c r="R864" s="226"/>
      <c r="S864" s="226"/>
      <c r="T864" s="226"/>
      <c r="U864" s="226"/>
      <c r="V864" s="226"/>
      <c r="W864" s="226"/>
      <c r="X864" s="226"/>
    </row>
    <row r="865" spans="1:24" ht="14.25" x14ac:dyDescent="0.2">
      <c r="A865" s="226"/>
      <c r="B865" s="226"/>
      <c r="C865" s="226"/>
      <c r="D865" s="226"/>
      <c r="E865" s="226"/>
      <c r="F865" s="226"/>
      <c r="G865" s="226"/>
      <c r="H865" s="226"/>
      <c r="I865" s="226"/>
      <c r="J865" s="226"/>
      <c r="K865" s="226"/>
      <c r="L865" s="226"/>
      <c r="M865" s="226"/>
      <c r="N865" s="226"/>
      <c r="O865" s="226"/>
      <c r="P865" s="226"/>
      <c r="Q865" s="226"/>
      <c r="R865" s="226"/>
      <c r="S865" s="226"/>
      <c r="T865" s="226"/>
      <c r="U865" s="226"/>
      <c r="V865" s="226"/>
      <c r="W865" s="226"/>
      <c r="X865" s="226"/>
    </row>
    <row r="866" spans="1:24" ht="14.25" x14ac:dyDescent="0.2">
      <c r="A866" s="226"/>
      <c r="B866" s="226"/>
      <c r="C866" s="226"/>
      <c r="D866" s="226"/>
      <c r="E866" s="226"/>
      <c r="F866" s="226"/>
      <c r="G866" s="226"/>
      <c r="H866" s="226"/>
      <c r="I866" s="226"/>
      <c r="J866" s="226"/>
      <c r="K866" s="226"/>
      <c r="L866" s="226"/>
      <c r="M866" s="226"/>
      <c r="N866" s="226"/>
      <c r="O866" s="226"/>
      <c r="P866" s="226"/>
      <c r="Q866" s="226"/>
      <c r="R866" s="226"/>
      <c r="S866" s="226"/>
      <c r="T866" s="226"/>
      <c r="U866" s="226"/>
      <c r="V866" s="226"/>
      <c r="W866" s="226"/>
      <c r="X866" s="226"/>
    </row>
    <row r="867" spans="1:24" ht="14.25" x14ac:dyDescent="0.2">
      <c r="A867" s="226"/>
      <c r="B867" s="226"/>
      <c r="C867" s="226"/>
      <c r="D867" s="226"/>
      <c r="E867" s="226"/>
      <c r="F867" s="226"/>
      <c r="G867" s="226"/>
      <c r="H867" s="226"/>
      <c r="I867" s="226"/>
      <c r="J867" s="226"/>
      <c r="K867" s="226"/>
      <c r="L867" s="226"/>
      <c r="M867" s="226"/>
      <c r="N867" s="226"/>
      <c r="O867" s="226"/>
      <c r="P867" s="226"/>
      <c r="Q867" s="226"/>
      <c r="R867" s="226"/>
      <c r="S867" s="226"/>
      <c r="T867" s="226"/>
      <c r="U867" s="226"/>
      <c r="V867" s="226"/>
      <c r="W867" s="226"/>
      <c r="X867" s="226"/>
    </row>
    <row r="868" spans="1:24" ht="14.25" x14ac:dyDescent="0.2">
      <c r="A868" s="226"/>
      <c r="B868" s="226"/>
      <c r="C868" s="226"/>
      <c r="D868" s="226"/>
      <c r="E868" s="226"/>
      <c r="F868" s="226"/>
      <c r="G868" s="226"/>
      <c r="H868" s="226"/>
      <c r="I868" s="226"/>
      <c r="J868" s="226"/>
      <c r="K868" s="226"/>
      <c r="L868" s="226"/>
      <c r="M868" s="226"/>
      <c r="N868" s="226"/>
      <c r="O868" s="226"/>
      <c r="P868" s="226"/>
      <c r="Q868" s="226"/>
      <c r="R868" s="226"/>
      <c r="S868" s="226"/>
      <c r="T868" s="226"/>
      <c r="U868" s="226"/>
      <c r="V868" s="226"/>
      <c r="W868" s="226"/>
      <c r="X868" s="226"/>
    </row>
    <row r="869" spans="1:24" ht="14.25" x14ac:dyDescent="0.2">
      <c r="A869" s="226"/>
      <c r="B869" s="226"/>
      <c r="C869" s="226"/>
      <c r="D869" s="226"/>
      <c r="E869" s="226"/>
      <c r="F869" s="226"/>
      <c r="G869" s="226"/>
      <c r="H869" s="226"/>
      <c r="I869" s="226"/>
      <c r="J869" s="226"/>
      <c r="K869" s="226"/>
      <c r="L869" s="226"/>
      <c r="M869" s="226"/>
      <c r="N869" s="226"/>
      <c r="O869" s="226"/>
      <c r="P869" s="226"/>
      <c r="Q869" s="226"/>
      <c r="R869" s="226"/>
      <c r="S869" s="226"/>
      <c r="T869" s="226"/>
      <c r="U869" s="226"/>
      <c r="V869" s="226"/>
      <c r="W869" s="226"/>
      <c r="X869" s="226"/>
    </row>
    <row r="870" spans="1:24" ht="14.25" x14ac:dyDescent="0.2">
      <c r="A870" s="226"/>
      <c r="B870" s="226"/>
      <c r="C870" s="226"/>
      <c r="D870" s="226"/>
      <c r="E870" s="226"/>
      <c r="F870" s="226"/>
      <c r="G870" s="226"/>
      <c r="H870" s="226"/>
      <c r="I870" s="226"/>
      <c r="J870" s="226"/>
      <c r="K870" s="226"/>
      <c r="L870" s="226"/>
      <c r="M870" s="226"/>
      <c r="N870" s="226"/>
      <c r="O870" s="226"/>
      <c r="P870" s="226"/>
      <c r="Q870" s="226"/>
      <c r="R870" s="226"/>
      <c r="S870" s="226"/>
      <c r="T870" s="226"/>
      <c r="U870" s="226"/>
      <c r="V870" s="226"/>
      <c r="W870" s="226"/>
      <c r="X870" s="226"/>
    </row>
    <row r="871" spans="1:24" ht="14.25" x14ac:dyDescent="0.2">
      <c r="A871" s="226"/>
      <c r="B871" s="226"/>
      <c r="C871" s="226"/>
      <c r="D871" s="226"/>
      <c r="E871" s="226"/>
      <c r="F871" s="226"/>
      <c r="G871" s="226"/>
      <c r="H871" s="226"/>
      <c r="I871" s="226"/>
      <c r="J871" s="226"/>
      <c r="K871" s="226"/>
      <c r="L871" s="226"/>
      <c r="M871" s="226"/>
      <c r="N871" s="226"/>
      <c r="O871" s="226"/>
      <c r="P871" s="226"/>
      <c r="Q871" s="226"/>
      <c r="R871" s="226"/>
      <c r="S871" s="226"/>
      <c r="T871" s="226"/>
      <c r="U871" s="226"/>
      <c r="V871" s="226"/>
      <c r="W871" s="226"/>
      <c r="X871" s="226"/>
    </row>
    <row r="872" spans="1:24" ht="14.25" x14ac:dyDescent="0.2">
      <c r="A872" s="226"/>
      <c r="B872" s="226"/>
      <c r="C872" s="226"/>
      <c r="D872" s="226"/>
      <c r="E872" s="226"/>
      <c r="F872" s="226"/>
      <c r="G872" s="226"/>
      <c r="H872" s="226"/>
      <c r="I872" s="226"/>
      <c r="J872" s="226"/>
      <c r="K872" s="226"/>
      <c r="L872" s="226"/>
      <c r="M872" s="226"/>
      <c r="N872" s="226"/>
      <c r="O872" s="226"/>
      <c r="P872" s="226"/>
      <c r="Q872" s="226"/>
      <c r="R872" s="226"/>
      <c r="S872" s="226"/>
      <c r="T872" s="226"/>
      <c r="U872" s="226"/>
      <c r="V872" s="226"/>
      <c r="W872" s="226"/>
      <c r="X872" s="226"/>
    </row>
    <row r="873" spans="1:24" ht="14.25" x14ac:dyDescent="0.2">
      <c r="A873" s="226"/>
      <c r="B873" s="226"/>
      <c r="C873" s="226"/>
      <c r="D873" s="226"/>
      <c r="E873" s="226"/>
      <c r="F873" s="226"/>
      <c r="G873" s="226"/>
      <c r="H873" s="226"/>
      <c r="I873" s="226"/>
      <c r="J873" s="226"/>
      <c r="K873" s="226"/>
      <c r="L873" s="226"/>
      <c r="M873" s="226"/>
      <c r="N873" s="226"/>
      <c r="O873" s="226"/>
      <c r="P873" s="226"/>
      <c r="Q873" s="226"/>
      <c r="R873" s="226"/>
      <c r="S873" s="226"/>
      <c r="T873" s="226"/>
      <c r="U873" s="226"/>
      <c r="V873" s="226"/>
      <c r="W873" s="226"/>
      <c r="X873" s="226"/>
    </row>
    <row r="874" spans="1:24" ht="14.25" x14ac:dyDescent="0.2">
      <c r="A874" s="226"/>
      <c r="B874" s="226"/>
      <c r="C874" s="226"/>
      <c r="D874" s="226"/>
      <c r="E874" s="226"/>
      <c r="F874" s="226"/>
      <c r="G874" s="226"/>
      <c r="H874" s="226"/>
      <c r="I874" s="226"/>
      <c r="J874" s="226"/>
      <c r="K874" s="226"/>
      <c r="L874" s="226"/>
      <c r="M874" s="226"/>
      <c r="N874" s="226"/>
      <c r="O874" s="226"/>
      <c r="P874" s="226"/>
      <c r="Q874" s="226"/>
      <c r="R874" s="226"/>
      <c r="S874" s="226"/>
      <c r="T874" s="226"/>
      <c r="U874" s="226"/>
      <c r="V874" s="226"/>
      <c r="W874" s="226"/>
      <c r="X874" s="226"/>
    </row>
    <row r="875" spans="1:24" ht="14.25" x14ac:dyDescent="0.2">
      <c r="A875" s="226"/>
      <c r="B875" s="226"/>
      <c r="C875" s="226"/>
      <c r="D875" s="226"/>
      <c r="E875" s="226"/>
      <c r="F875" s="226"/>
      <c r="G875" s="226"/>
      <c r="H875" s="226"/>
      <c r="I875" s="226"/>
      <c r="J875" s="226"/>
      <c r="K875" s="226"/>
      <c r="L875" s="226"/>
      <c r="M875" s="226"/>
      <c r="N875" s="226"/>
      <c r="O875" s="226"/>
      <c r="P875" s="226"/>
      <c r="Q875" s="226"/>
      <c r="R875" s="226"/>
      <c r="S875" s="226"/>
      <c r="T875" s="226"/>
      <c r="U875" s="226"/>
      <c r="V875" s="226"/>
      <c r="W875" s="226"/>
      <c r="X875" s="226"/>
    </row>
    <row r="876" spans="1:24" ht="14.25" x14ac:dyDescent="0.2">
      <c r="A876" s="226"/>
      <c r="B876" s="226"/>
      <c r="C876" s="226"/>
      <c r="D876" s="226"/>
      <c r="E876" s="226"/>
      <c r="F876" s="226"/>
      <c r="G876" s="226"/>
      <c r="H876" s="226"/>
      <c r="I876" s="226"/>
      <c r="J876" s="226"/>
      <c r="K876" s="226"/>
      <c r="L876" s="226"/>
      <c r="M876" s="226"/>
      <c r="N876" s="226"/>
      <c r="O876" s="226"/>
      <c r="P876" s="226"/>
      <c r="Q876" s="226"/>
      <c r="R876" s="226"/>
      <c r="S876" s="226"/>
      <c r="T876" s="226"/>
      <c r="U876" s="226"/>
      <c r="V876" s="226"/>
      <c r="W876" s="226"/>
      <c r="X876" s="226"/>
    </row>
    <row r="877" spans="1:24" ht="14.25" x14ac:dyDescent="0.2">
      <c r="A877" s="226"/>
      <c r="B877" s="226"/>
      <c r="C877" s="226"/>
      <c r="D877" s="226"/>
      <c r="E877" s="226"/>
      <c r="F877" s="226"/>
      <c r="G877" s="226"/>
      <c r="H877" s="226"/>
      <c r="I877" s="226"/>
      <c r="J877" s="226"/>
      <c r="K877" s="226"/>
      <c r="L877" s="226"/>
      <c r="M877" s="226"/>
      <c r="N877" s="226"/>
      <c r="O877" s="226"/>
      <c r="P877" s="226"/>
      <c r="Q877" s="226"/>
      <c r="R877" s="226"/>
      <c r="S877" s="226"/>
      <c r="T877" s="226"/>
      <c r="U877" s="226"/>
      <c r="V877" s="226"/>
      <c r="W877" s="226"/>
      <c r="X877" s="226"/>
    </row>
    <row r="878" spans="1:24" ht="14.25" x14ac:dyDescent="0.2">
      <c r="A878" s="226"/>
      <c r="B878" s="226"/>
      <c r="C878" s="226"/>
      <c r="D878" s="226"/>
      <c r="E878" s="226"/>
      <c r="F878" s="226"/>
      <c r="G878" s="226"/>
      <c r="H878" s="226"/>
      <c r="I878" s="226"/>
      <c r="J878" s="226"/>
      <c r="K878" s="226"/>
      <c r="L878" s="226"/>
      <c r="M878" s="226"/>
      <c r="N878" s="226"/>
      <c r="O878" s="226"/>
      <c r="P878" s="226"/>
      <c r="Q878" s="226"/>
      <c r="R878" s="226"/>
      <c r="S878" s="226"/>
      <c r="T878" s="226"/>
      <c r="U878" s="226"/>
      <c r="V878" s="226"/>
      <c r="W878" s="226"/>
      <c r="X878" s="226"/>
    </row>
    <row r="879" spans="1:24" ht="14.25" x14ac:dyDescent="0.2">
      <c r="A879" s="226"/>
      <c r="B879" s="226"/>
      <c r="C879" s="226"/>
      <c r="D879" s="226"/>
      <c r="E879" s="226"/>
      <c r="F879" s="226"/>
      <c r="G879" s="226"/>
      <c r="H879" s="226"/>
      <c r="I879" s="226"/>
      <c r="J879" s="226"/>
      <c r="K879" s="226"/>
      <c r="L879" s="226"/>
      <c r="M879" s="226"/>
      <c r="N879" s="226"/>
      <c r="O879" s="226"/>
      <c r="P879" s="226"/>
      <c r="Q879" s="226"/>
      <c r="R879" s="226"/>
      <c r="S879" s="226"/>
      <c r="T879" s="226"/>
      <c r="U879" s="226"/>
      <c r="V879" s="226"/>
      <c r="W879" s="226"/>
      <c r="X879" s="226"/>
    </row>
    <row r="880" spans="1:24" ht="14.25" x14ac:dyDescent="0.2">
      <c r="A880" s="226"/>
      <c r="B880" s="226"/>
      <c r="C880" s="226"/>
      <c r="D880" s="226"/>
      <c r="E880" s="226"/>
      <c r="F880" s="226"/>
      <c r="G880" s="226"/>
      <c r="H880" s="226"/>
      <c r="I880" s="226"/>
      <c r="J880" s="226"/>
      <c r="K880" s="226"/>
      <c r="L880" s="226"/>
      <c r="M880" s="226"/>
      <c r="N880" s="226"/>
      <c r="O880" s="226"/>
      <c r="P880" s="226"/>
      <c r="Q880" s="226"/>
      <c r="R880" s="226"/>
      <c r="S880" s="226"/>
      <c r="T880" s="226"/>
      <c r="U880" s="226"/>
      <c r="V880" s="226"/>
      <c r="W880" s="226"/>
      <c r="X880" s="226"/>
    </row>
    <row r="881" spans="1:24" ht="14.25" x14ac:dyDescent="0.2">
      <c r="A881" s="226"/>
      <c r="B881" s="226"/>
      <c r="C881" s="226"/>
      <c r="D881" s="226"/>
      <c r="E881" s="226"/>
      <c r="F881" s="226"/>
      <c r="G881" s="226"/>
      <c r="H881" s="226"/>
      <c r="I881" s="226"/>
      <c r="J881" s="226"/>
      <c r="K881" s="226"/>
      <c r="L881" s="226"/>
      <c r="M881" s="226"/>
      <c r="N881" s="226"/>
      <c r="O881" s="226"/>
      <c r="P881" s="226"/>
      <c r="Q881" s="226"/>
      <c r="R881" s="226"/>
      <c r="S881" s="226"/>
      <c r="T881" s="226"/>
      <c r="U881" s="226"/>
      <c r="V881" s="226"/>
      <c r="W881" s="226"/>
      <c r="X881" s="226"/>
    </row>
    <row r="882" spans="1:24" ht="14.25" x14ac:dyDescent="0.2">
      <c r="A882" s="226"/>
      <c r="B882" s="226"/>
      <c r="C882" s="226"/>
      <c r="D882" s="226"/>
      <c r="E882" s="226"/>
      <c r="F882" s="226"/>
      <c r="G882" s="226"/>
      <c r="H882" s="226"/>
      <c r="I882" s="226"/>
      <c r="J882" s="226"/>
      <c r="K882" s="226"/>
      <c r="L882" s="226"/>
      <c r="M882" s="226"/>
      <c r="N882" s="226"/>
      <c r="O882" s="226"/>
      <c r="P882" s="226"/>
      <c r="Q882" s="226"/>
      <c r="R882" s="226"/>
      <c r="S882" s="226"/>
      <c r="T882" s="226"/>
      <c r="U882" s="226"/>
      <c r="V882" s="226"/>
      <c r="W882" s="226"/>
      <c r="X882" s="226"/>
    </row>
    <row r="883" spans="1:24" ht="14.25" x14ac:dyDescent="0.2">
      <c r="A883" s="226"/>
      <c r="B883" s="226"/>
      <c r="C883" s="226"/>
      <c r="D883" s="226"/>
      <c r="E883" s="226"/>
      <c r="F883" s="226"/>
      <c r="G883" s="226"/>
      <c r="H883" s="226"/>
      <c r="I883" s="226"/>
      <c r="J883" s="226"/>
      <c r="K883" s="226"/>
      <c r="L883" s="226"/>
      <c r="M883" s="226"/>
      <c r="N883" s="226"/>
      <c r="O883" s="226"/>
      <c r="P883" s="226"/>
      <c r="Q883" s="226"/>
      <c r="R883" s="226"/>
      <c r="S883" s="226"/>
      <c r="T883" s="226"/>
      <c r="U883" s="226"/>
      <c r="V883" s="226"/>
      <c r="W883" s="226"/>
      <c r="X883" s="226"/>
    </row>
    <row r="884" spans="1:24" ht="14.25" x14ac:dyDescent="0.2">
      <c r="A884" s="226"/>
      <c r="B884" s="226"/>
      <c r="C884" s="226"/>
      <c r="D884" s="226"/>
      <c r="E884" s="226"/>
      <c r="F884" s="226"/>
      <c r="G884" s="226"/>
      <c r="H884" s="226"/>
      <c r="I884" s="226"/>
      <c r="J884" s="226"/>
      <c r="K884" s="226"/>
      <c r="L884" s="226"/>
      <c r="M884" s="226"/>
      <c r="N884" s="226"/>
      <c r="O884" s="226"/>
      <c r="P884" s="226"/>
      <c r="Q884" s="226"/>
      <c r="R884" s="226"/>
      <c r="S884" s="226"/>
      <c r="T884" s="226"/>
      <c r="U884" s="226"/>
      <c r="V884" s="226"/>
      <c r="W884" s="226"/>
      <c r="X884" s="226"/>
    </row>
    <row r="885" spans="1:24" ht="14.25" x14ac:dyDescent="0.2">
      <c r="A885" s="226"/>
      <c r="B885" s="226"/>
      <c r="C885" s="226"/>
      <c r="D885" s="226"/>
      <c r="E885" s="226"/>
      <c r="F885" s="226"/>
      <c r="G885" s="226"/>
      <c r="H885" s="226"/>
      <c r="I885" s="226"/>
      <c r="J885" s="226"/>
      <c r="K885" s="226"/>
      <c r="L885" s="226"/>
      <c r="M885" s="226"/>
      <c r="N885" s="226"/>
      <c r="O885" s="226"/>
      <c r="P885" s="226"/>
      <c r="Q885" s="226"/>
      <c r="R885" s="226"/>
      <c r="S885" s="226"/>
      <c r="T885" s="226"/>
      <c r="U885" s="226"/>
      <c r="V885" s="226"/>
      <c r="W885" s="226"/>
      <c r="X885" s="226"/>
    </row>
    <row r="886" spans="1:24" ht="14.25" x14ac:dyDescent="0.2">
      <c r="A886" s="226"/>
      <c r="B886" s="226"/>
      <c r="C886" s="226"/>
      <c r="D886" s="226"/>
      <c r="E886" s="226"/>
      <c r="F886" s="226"/>
      <c r="G886" s="226"/>
      <c r="H886" s="226"/>
      <c r="I886" s="226"/>
      <c r="J886" s="226"/>
      <c r="K886" s="226"/>
      <c r="L886" s="226"/>
      <c r="M886" s="226"/>
      <c r="N886" s="226"/>
      <c r="O886" s="226"/>
      <c r="P886" s="226"/>
      <c r="Q886" s="226"/>
      <c r="R886" s="226"/>
      <c r="S886" s="226"/>
      <c r="T886" s="226"/>
      <c r="U886" s="226"/>
      <c r="V886" s="226"/>
      <c r="W886" s="226"/>
      <c r="X886" s="226"/>
    </row>
    <row r="887" spans="1:24" ht="14.25" x14ac:dyDescent="0.2">
      <c r="A887" s="226"/>
      <c r="B887" s="226"/>
      <c r="C887" s="226"/>
      <c r="D887" s="226"/>
      <c r="E887" s="226"/>
      <c r="F887" s="226"/>
      <c r="G887" s="226"/>
      <c r="H887" s="226"/>
      <c r="I887" s="226"/>
      <c r="J887" s="226"/>
      <c r="K887" s="226"/>
      <c r="L887" s="226"/>
      <c r="M887" s="226"/>
      <c r="N887" s="226"/>
      <c r="O887" s="226"/>
      <c r="P887" s="226"/>
      <c r="Q887" s="226"/>
      <c r="R887" s="226"/>
      <c r="S887" s="226"/>
      <c r="T887" s="226"/>
      <c r="U887" s="226"/>
      <c r="V887" s="226"/>
      <c r="W887" s="226"/>
      <c r="X887" s="226"/>
    </row>
    <row r="888" spans="1:24" ht="14.25" x14ac:dyDescent="0.2">
      <c r="A888" s="226"/>
      <c r="B888" s="226"/>
      <c r="C888" s="226"/>
      <c r="D888" s="226"/>
      <c r="E888" s="226"/>
      <c r="F888" s="226"/>
      <c r="G888" s="226"/>
      <c r="H888" s="226"/>
      <c r="I888" s="226"/>
      <c r="J888" s="226"/>
      <c r="K888" s="226"/>
      <c r="L888" s="226"/>
      <c r="M888" s="226"/>
      <c r="N888" s="226"/>
      <c r="O888" s="226"/>
      <c r="P888" s="226"/>
      <c r="Q888" s="226"/>
      <c r="R888" s="226"/>
      <c r="S888" s="226"/>
      <c r="T888" s="226"/>
      <c r="U888" s="226"/>
      <c r="V888" s="226"/>
      <c r="W888" s="226"/>
      <c r="X888" s="226"/>
    </row>
    <row r="889" spans="1:24" ht="14.25" x14ac:dyDescent="0.2">
      <c r="A889" s="226"/>
      <c r="B889" s="226"/>
      <c r="C889" s="226"/>
      <c r="D889" s="226"/>
      <c r="E889" s="226"/>
      <c r="F889" s="226"/>
      <c r="G889" s="226"/>
      <c r="H889" s="226"/>
      <c r="I889" s="226"/>
      <c r="J889" s="226"/>
      <c r="K889" s="226"/>
      <c r="L889" s="226"/>
      <c r="M889" s="226"/>
      <c r="N889" s="226"/>
      <c r="O889" s="226"/>
      <c r="P889" s="226"/>
      <c r="Q889" s="226"/>
      <c r="R889" s="226"/>
      <c r="S889" s="226"/>
      <c r="T889" s="226"/>
      <c r="U889" s="226"/>
      <c r="V889" s="226"/>
      <c r="W889" s="226"/>
      <c r="X889" s="226"/>
    </row>
    <row r="890" spans="1:24" ht="14.25" x14ac:dyDescent="0.2">
      <c r="A890" s="226"/>
      <c r="B890" s="226"/>
      <c r="C890" s="226"/>
      <c r="D890" s="226"/>
      <c r="E890" s="226"/>
      <c r="F890" s="226"/>
      <c r="G890" s="226"/>
      <c r="H890" s="226"/>
      <c r="I890" s="226"/>
      <c r="J890" s="226"/>
      <c r="K890" s="226"/>
      <c r="L890" s="226"/>
      <c r="M890" s="226"/>
      <c r="N890" s="226"/>
      <c r="O890" s="226"/>
      <c r="P890" s="226"/>
      <c r="Q890" s="226"/>
      <c r="R890" s="226"/>
      <c r="S890" s="226"/>
      <c r="T890" s="226"/>
      <c r="U890" s="226"/>
      <c r="V890" s="226"/>
      <c r="W890" s="226"/>
      <c r="X890" s="226"/>
    </row>
    <row r="891" spans="1:24" ht="14.25" x14ac:dyDescent="0.2">
      <c r="A891" s="226"/>
      <c r="B891" s="226"/>
      <c r="C891" s="226"/>
      <c r="D891" s="226"/>
      <c r="E891" s="226"/>
      <c r="F891" s="226"/>
      <c r="G891" s="226"/>
      <c r="H891" s="226"/>
      <c r="I891" s="226"/>
      <c r="J891" s="226"/>
      <c r="K891" s="226"/>
      <c r="L891" s="226"/>
      <c r="M891" s="226"/>
      <c r="N891" s="226"/>
      <c r="O891" s="226"/>
      <c r="P891" s="226"/>
      <c r="Q891" s="226"/>
      <c r="R891" s="226"/>
      <c r="S891" s="226"/>
      <c r="T891" s="226"/>
      <c r="U891" s="226"/>
      <c r="V891" s="226"/>
      <c r="W891" s="226"/>
      <c r="X891" s="226"/>
    </row>
    <row r="892" spans="1:24" ht="14.25" x14ac:dyDescent="0.2">
      <c r="A892" s="226"/>
      <c r="B892" s="226"/>
      <c r="C892" s="226"/>
      <c r="D892" s="226"/>
      <c r="E892" s="226"/>
      <c r="F892" s="226"/>
      <c r="G892" s="226"/>
      <c r="H892" s="226"/>
      <c r="I892" s="226"/>
      <c r="J892" s="226"/>
      <c r="K892" s="226"/>
      <c r="L892" s="226"/>
      <c r="M892" s="226"/>
      <c r="N892" s="226"/>
      <c r="O892" s="226"/>
      <c r="P892" s="226"/>
      <c r="Q892" s="226"/>
      <c r="R892" s="226"/>
      <c r="S892" s="226"/>
      <c r="T892" s="226"/>
      <c r="U892" s="226"/>
      <c r="V892" s="226"/>
      <c r="W892" s="226"/>
      <c r="X892" s="226"/>
    </row>
    <row r="893" spans="1:24" ht="14.25" x14ac:dyDescent="0.2">
      <c r="A893" s="226"/>
      <c r="B893" s="226"/>
      <c r="C893" s="226"/>
      <c r="D893" s="226"/>
      <c r="E893" s="226"/>
      <c r="F893" s="226"/>
      <c r="G893" s="226"/>
      <c r="H893" s="226"/>
      <c r="I893" s="226"/>
      <c r="J893" s="226"/>
      <c r="K893" s="226"/>
      <c r="L893" s="226"/>
      <c r="M893" s="226"/>
      <c r="N893" s="226"/>
      <c r="O893" s="226"/>
      <c r="P893" s="226"/>
      <c r="Q893" s="226"/>
      <c r="R893" s="226"/>
      <c r="S893" s="226"/>
      <c r="T893" s="226"/>
      <c r="U893" s="226"/>
      <c r="V893" s="226"/>
      <c r="W893" s="226"/>
      <c r="X893" s="226"/>
    </row>
    <row r="894" spans="1:24" ht="14.25" x14ac:dyDescent="0.2">
      <c r="A894" s="226"/>
      <c r="B894" s="226"/>
      <c r="C894" s="226"/>
      <c r="D894" s="226"/>
      <c r="E894" s="226"/>
      <c r="F894" s="226"/>
      <c r="G894" s="226"/>
      <c r="H894" s="226"/>
      <c r="I894" s="226"/>
      <c r="J894" s="226"/>
      <c r="K894" s="226"/>
      <c r="L894" s="226"/>
      <c r="M894" s="226"/>
      <c r="N894" s="226"/>
      <c r="O894" s="226"/>
      <c r="P894" s="226"/>
      <c r="Q894" s="226"/>
      <c r="R894" s="226"/>
      <c r="S894" s="226"/>
      <c r="T894" s="226"/>
      <c r="U894" s="226"/>
      <c r="V894" s="226"/>
      <c r="W894" s="226"/>
      <c r="X894" s="226"/>
    </row>
    <row r="895" spans="1:24" ht="14.25" x14ac:dyDescent="0.2">
      <c r="A895" s="226"/>
      <c r="B895" s="226"/>
      <c r="C895" s="226"/>
      <c r="D895" s="226"/>
      <c r="E895" s="226"/>
      <c r="F895" s="226"/>
      <c r="G895" s="226"/>
      <c r="H895" s="226"/>
      <c r="I895" s="226"/>
      <c r="J895" s="226"/>
      <c r="K895" s="226"/>
      <c r="L895" s="226"/>
      <c r="M895" s="226"/>
      <c r="N895" s="226"/>
      <c r="O895" s="226"/>
      <c r="P895" s="226"/>
      <c r="Q895" s="226"/>
      <c r="R895" s="226"/>
      <c r="S895" s="226"/>
      <c r="T895" s="226"/>
      <c r="U895" s="226"/>
      <c r="V895" s="226"/>
      <c r="W895" s="226"/>
      <c r="X895" s="226"/>
    </row>
    <row r="896" spans="1:24" ht="14.25" x14ac:dyDescent="0.2">
      <c r="A896" s="226"/>
      <c r="B896" s="226"/>
      <c r="C896" s="226"/>
      <c r="D896" s="226"/>
      <c r="E896" s="226"/>
      <c r="F896" s="226"/>
      <c r="G896" s="226"/>
      <c r="H896" s="226"/>
      <c r="I896" s="226"/>
      <c r="J896" s="226"/>
      <c r="K896" s="226"/>
      <c r="L896" s="226"/>
      <c r="M896" s="226"/>
      <c r="N896" s="226"/>
      <c r="O896" s="226"/>
      <c r="P896" s="226"/>
      <c r="Q896" s="226"/>
      <c r="R896" s="226"/>
      <c r="S896" s="226"/>
      <c r="T896" s="226"/>
      <c r="U896" s="226"/>
      <c r="V896" s="226"/>
      <c r="W896" s="226"/>
      <c r="X896" s="226"/>
    </row>
    <row r="897" spans="1:24" ht="14.25" x14ac:dyDescent="0.2">
      <c r="A897" s="226"/>
      <c r="B897" s="226"/>
      <c r="C897" s="226"/>
      <c r="D897" s="226"/>
      <c r="E897" s="226"/>
      <c r="F897" s="226"/>
      <c r="G897" s="226"/>
      <c r="H897" s="226"/>
      <c r="I897" s="226"/>
      <c r="J897" s="226"/>
      <c r="K897" s="226"/>
      <c r="L897" s="226"/>
      <c r="M897" s="226"/>
      <c r="N897" s="226"/>
      <c r="O897" s="226"/>
      <c r="P897" s="226"/>
      <c r="Q897" s="226"/>
      <c r="R897" s="226"/>
      <c r="S897" s="226"/>
      <c r="T897" s="226"/>
      <c r="U897" s="226"/>
      <c r="V897" s="226"/>
      <c r="W897" s="226"/>
      <c r="X897" s="226"/>
    </row>
    <row r="898" spans="1:24" ht="14.25" x14ac:dyDescent="0.2">
      <c r="A898" s="226"/>
      <c r="B898" s="226"/>
      <c r="C898" s="226"/>
      <c r="D898" s="226"/>
      <c r="E898" s="226"/>
      <c r="F898" s="226"/>
      <c r="G898" s="226"/>
      <c r="H898" s="226"/>
      <c r="I898" s="226"/>
      <c r="J898" s="226"/>
      <c r="K898" s="226"/>
      <c r="L898" s="226"/>
      <c r="M898" s="226"/>
      <c r="N898" s="226"/>
      <c r="O898" s="226"/>
      <c r="P898" s="226"/>
      <c r="Q898" s="226"/>
      <c r="R898" s="226"/>
      <c r="S898" s="226"/>
      <c r="T898" s="226"/>
      <c r="U898" s="226"/>
      <c r="V898" s="226"/>
      <c r="W898" s="226"/>
      <c r="X898" s="226"/>
    </row>
    <row r="899" spans="1:24" ht="14.25" x14ac:dyDescent="0.2">
      <c r="A899" s="226"/>
      <c r="B899" s="226"/>
      <c r="C899" s="226"/>
      <c r="D899" s="226"/>
      <c r="E899" s="226"/>
      <c r="F899" s="226"/>
      <c r="G899" s="226"/>
      <c r="H899" s="226"/>
      <c r="I899" s="226"/>
      <c r="J899" s="226"/>
      <c r="K899" s="226"/>
      <c r="L899" s="226"/>
      <c r="M899" s="226"/>
      <c r="N899" s="226"/>
      <c r="O899" s="226"/>
      <c r="P899" s="226"/>
      <c r="Q899" s="226"/>
      <c r="R899" s="226"/>
      <c r="S899" s="226"/>
      <c r="T899" s="226"/>
      <c r="U899" s="226"/>
      <c r="V899" s="226"/>
      <c r="W899" s="226"/>
      <c r="X899" s="226"/>
    </row>
    <row r="900" spans="1:24" ht="14.25" x14ac:dyDescent="0.2">
      <c r="A900" s="226"/>
      <c r="B900" s="226"/>
      <c r="C900" s="226"/>
      <c r="D900" s="226"/>
      <c r="E900" s="226"/>
      <c r="F900" s="226"/>
      <c r="G900" s="226"/>
      <c r="H900" s="226"/>
      <c r="I900" s="226"/>
      <c r="J900" s="226"/>
      <c r="K900" s="226"/>
      <c r="L900" s="226"/>
      <c r="M900" s="226"/>
      <c r="N900" s="226"/>
      <c r="O900" s="226"/>
      <c r="P900" s="226"/>
      <c r="Q900" s="226"/>
      <c r="R900" s="226"/>
      <c r="S900" s="226"/>
      <c r="T900" s="226"/>
      <c r="U900" s="226"/>
      <c r="V900" s="226"/>
      <c r="W900" s="226"/>
      <c r="X900" s="226"/>
    </row>
    <row r="901" spans="1:24" ht="14.25" x14ac:dyDescent="0.2">
      <c r="A901" s="226"/>
      <c r="B901" s="226"/>
      <c r="C901" s="226"/>
      <c r="D901" s="226"/>
      <c r="E901" s="226"/>
      <c r="F901" s="226"/>
      <c r="G901" s="226"/>
      <c r="H901" s="226"/>
      <c r="I901" s="226"/>
      <c r="J901" s="226"/>
      <c r="K901" s="226"/>
      <c r="L901" s="226"/>
      <c r="M901" s="226"/>
      <c r="N901" s="226"/>
      <c r="O901" s="226"/>
      <c r="P901" s="226"/>
      <c r="Q901" s="226"/>
      <c r="R901" s="226"/>
      <c r="S901" s="226"/>
      <c r="T901" s="226"/>
      <c r="U901" s="226"/>
      <c r="V901" s="226"/>
      <c r="W901" s="226"/>
      <c r="X901" s="226"/>
    </row>
    <row r="902" spans="1:24" ht="14.25" x14ac:dyDescent="0.2">
      <c r="A902" s="226"/>
      <c r="B902" s="226"/>
      <c r="C902" s="226"/>
      <c r="D902" s="226"/>
      <c r="E902" s="226"/>
      <c r="F902" s="226"/>
      <c r="G902" s="226"/>
      <c r="H902" s="226"/>
      <c r="I902" s="226"/>
      <c r="J902" s="226"/>
      <c r="K902" s="226"/>
      <c r="L902" s="226"/>
      <c r="M902" s="226"/>
      <c r="N902" s="226"/>
      <c r="O902" s="226"/>
      <c r="P902" s="226"/>
      <c r="Q902" s="226"/>
      <c r="R902" s="226"/>
      <c r="S902" s="226"/>
      <c r="T902" s="226"/>
      <c r="U902" s="226"/>
      <c r="V902" s="226"/>
      <c r="W902" s="226"/>
      <c r="X902" s="226"/>
    </row>
    <row r="903" spans="1:24" ht="14.25" x14ac:dyDescent="0.2">
      <c r="A903" s="226"/>
      <c r="B903" s="226"/>
      <c r="C903" s="226"/>
      <c r="D903" s="226"/>
      <c r="E903" s="226"/>
      <c r="F903" s="226"/>
      <c r="G903" s="226"/>
      <c r="H903" s="226"/>
      <c r="I903" s="226"/>
      <c r="J903" s="226"/>
      <c r="K903" s="226"/>
      <c r="L903" s="226"/>
      <c r="M903" s="226"/>
      <c r="N903" s="226"/>
      <c r="O903" s="226"/>
      <c r="P903" s="226"/>
      <c r="Q903" s="226"/>
      <c r="R903" s="226"/>
      <c r="S903" s="226"/>
      <c r="T903" s="226"/>
      <c r="U903" s="226"/>
      <c r="V903" s="226"/>
      <c r="W903" s="226"/>
      <c r="X903" s="226"/>
    </row>
    <row r="904" spans="1:24" ht="14.25" x14ac:dyDescent="0.2">
      <c r="A904" s="226"/>
      <c r="B904" s="226"/>
      <c r="C904" s="226"/>
      <c r="D904" s="226"/>
      <c r="E904" s="226"/>
      <c r="F904" s="226"/>
      <c r="G904" s="226"/>
      <c r="H904" s="226"/>
      <c r="I904" s="226"/>
      <c r="J904" s="226"/>
      <c r="K904" s="226"/>
      <c r="L904" s="226"/>
      <c r="M904" s="226"/>
      <c r="N904" s="226"/>
      <c r="O904" s="226"/>
      <c r="P904" s="226"/>
      <c r="Q904" s="226"/>
      <c r="R904" s="226"/>
      <c r="S904" s="226"/>
      <c r="T904" s="226"/>
      <c r="U904" s="226"/>
      <c r="V904" s="226"/>
      <c r="W904" s="226"/>
      <c r="X904" s="226"/>
    </row>
    <row r="905" spans="1:24" ht="14.25" x14ac:dyDescent="0.2">
      <c r="A905" s="226"/>
      <c r="B905" s="226"/>
      <c r="C905" s="226"/>
      <c r="D905" s="226"/>
      <c r="E905" s="226"/>
      <c r="F905" s="226"/>
      <c r="G905" s="226"/>
      <c r="H905" s="226"/>
      <c r="I905" s="226"/>
      <c r="J905" s="226"/>
      <c r="K905" s="226"/>
      <c r="L905" s="226"/>
      <c r="M905" s="226"/>
      <c r="N905" s="226"/>
      <c r="O905" s="226"/>
      <c r="P905" s="226"/>
      <c r="Q905" s="226"/>
      <c r="R905" s="226"/>
      <c r="S905" s="226"/>
      <c r="T905" s="226"/>
      <c r="U905" s="226"/>
      <c r="V905" s="226"/>
      <c r="W905" s="226"/>
      <c r="X905" s="226"/>
    </row>
    <row r="906" spans="1:24" ht="14.25" x14ac:dyDescent="0.2">
      <c r="A906" s="226"/>
      <c r="B906" s="226"/>
      <c r="C906" s="226"/>
      <c r="D906" s="226"/>
      <c r="E906" s="226"/>
      <c r="F906" s="226"/>
      <c r="G906" s="226"/>
      <c r="H906" s="226"/>
      <c r="I906" s="226"/>
      <c r="J906" s="226"/>
      <c r="K906" s="226"/>
      <c r="L906" s="226"/>
      <c r="M906" s="226"/>
      <c r="N906" s="226"/>
      <c r="O906" s="226"/>
      <c r="P906" s="226"/>
      <c r="Q906" s="226"/>
      <c r="R906" s="226"/>
      <c r="S906" s="226"/>
      <c r="T906" s="226"/>
      <c r="U906" s="226"/>
      <c r="V906" s="226"/>
      <c r="W906" s="226"/>
      <c r="X906" s="226"/>
    </row>
    <row r="907" spans="1:24" ht="14.25" x14ac:dyDescent="0.2">
      <c r="A907" s="226"/>
      <c r="B907" s="226"/>
      <c r="C907" s="226"/>
      <c r="D907" s="226"/>
      <c r="E907" s="226"/>
      <c r="F907" s="226"/>
      <c r="G907" s="226"/>
      <c r="H907" s="226"/>
      <c r="I907" s="226"/>
      <c r="J907" s="226"/>
      <c r="K907" s="226"/>
      <c r="L907" s="226"/>
      <c r="M907" s="226"/>
      <c r="N907" s="226"/>
      <c r="O907" s="226"/>
      <c r="P907" s="226"/>
      <c r="Q907" s="226"/>
      <c r="R907" s="226"/>
      <c r="S907" s="226"/>
      <c r="T907" s="226"/>
      <c r="U907" s="226"/>
      <c r="V907" s="226"/>
      <c r="W907" s="226"/>
      <c r="X907" s="226"/>
    </row>
    <row r="908" spans="1:24" ht="14.25" x14ac:dyDescent="0.2">
      <c r="A908" s="226"/>
      <c r="B908" s="226"/>
      <c r="C908" s="226"/>
      <c r="D908" s="226"/>
      <c r="E908" s="226"/>
      <c r="F908" s="226"/>
      <c r="G908" s="226"/>
      <c r="H908" s="226"/>
      <c r="I908" s="226"/>
      <c r="J908" s="226"/>
      <c r="K908" s="226"/>
      <c r="L908" s="226"/>
      <c r="M908" s="226"/>
      <c r="N908" s="226"/>
      <c r="O908" s="226"/>
      <c r="P908" s="226"/>
      <c r="Q908" s="226"/>
      <c r="R908" s="226"/>
      <c r="S908" s="226"/>
      <c r="T908" s="226"/>
      <c r="U908" s="226"/>
      <c r="V908" s="226"/>
      <c r="W908" s="226"/>
      <c r="X908" s="226"/>
    </row>
    <row r="909" spans="1:24" ht="14.25" x14ac:dyDescent="0.2">
      <c r="A909" s="226"/>
      <c r="B909" s="226"/>
      <c r="C909" s="226"/>
      <c r="D909" s="226"/>
      <c r="E909" s="226"/>
      <c r="F909" s="226"/>
      <c r="G909" s="226"/>
      <c r="H909" s="226"/>
      <c r="I909" s="226"/>
      <c r="J909" s="226"/>
      <c r="K909" s="226"/>
      <c r="L909" s="226"/>
      <c r="M909" s="226"/>
      <c r="N909" s="226"/>
      <c r="O909" s="226"/>
      <c r="P909" s="226"/>
      <c r="Q909" s="226"/>
      <c r="R909" s="226"/>
      <c r="S909" s="226"/>
      <c r="T909" s="226"/>
      <c r="U909" s="226"/>
      <c r="V909" s="226"/>
      <c r="W909" s="226"/>
      <c r="X909" s="226"/>
    </row>
    <row r="910" spans="1:24" ht="14.25" x14ac:dyDescent="0.2">
      <c r="A910" s="226"/>
      <c r="B910" s="226"/>
      <c r="C910" s="226"/>
      <c r="D910" s="226"/>
      <c r="E910" s="226"/>
      <c r="F910" s="226"/>
      <c r="G910" s="226"/>
      <c r="H910" s="226"/>
      <c r="I910" s="226"/>
      <c r="J910" s="226"/>
      <c r="K910" s="226"/>
      <c r="L910" s="226"/>
      <c r="M910" s="226"/>
      <c r="N910" s="226"/>
      <c r="O910" s="226"/>
      <c r="P910" s="226"/>
      <c r="Q910" s="226"/>
      <c r="R910" s="226"/>
      <c r="S910" s="226"/>
      <c r="T910" s="226"/>
      <c r="U910" s="226"/>
      <c r="V910" s="226"/>
      <c r="W910" s="226"/>
      <c r="X910" s="226"/>
    </row>
    <row r="911" spans="1:24" ht="14.25" x14ac:dyDescent="0.2">
      <c r="A911" s="226"/>
      <c r="B911" s="226"/>
      <c r="C911" s="226"/>
      <c r="D911" s="226"/>
      <c r="E911" s="226"/>
      <c r="F911" s="226"/>
      <c r="G911" s="226"/>
      <c r="H911" s="226"/>
      <c r="I911" s="226"/>
      <c r="J911" s="226"/>
      <c r="K911" s="226"/>
      <c r="L911" s="226"/>
      <c r="M911" s="226"/>
      <c r="N911" s="226"/>
      <c r="O911" s="226"/>
      <c r="P911" s="226"/>
      <c r="Q911" s="226"/>
      <c r="R911" s="226"/>
      <c r="S911" s="226"/>
      <c r="T911" s="226"/>
      <c r="U911" s="226"/>
      <c r="V911" s="226"/>
      <c r="W911" s="226"/>
      <c r="X911" s="226"/>
    </row>
    <row r="912" spans="1:24" ht="14.25" x14ac:dyDescent="0.2">
      <c r="A912" s="226"/>
      <c r="B912" s="226"/>
      <c r="C912" s="226"/>
      <c r="D912" s="226"/>
      <c r="E912" s="226"/>
      <c r="F912" s="226"/>
      <c r="G912" s="226"/>
      <c r="H912" s="226"/>
      <c r="I912" s="226"/>
      <c r="J912" s="226"/>
      <c r="K912" s="226"/>
      <c r="L912" s="226"/>
      <c r="M912" s="226"/>
      <c r="N912" s="226"/>
      <c r="O912" s="226"/>
      <c r="P912" s="226"/>
      <c r="Q912" s="226"/>
      <c r="R912" s="226"/>
      <c r="S912" s="226"/>
      <c r="T912" s="226"/>
      <c r="U912" s="226"/>
      <c r="V912" s="226"/>
      <c r="W912" s="226"/>
      <c r="X912" s="226"/>
    </row>
    <row r="913" spans="1:24" ht="14.25" x14ac:dyDescent="0.2">
      <c r="A913" s="226"/>
      <c r="B913" s="226"/>
      <c r="C913" s="226"/>
      <c r="D913" s="226"/>
      <c r="E913" s="226"/>
      <c r="F913" s="226"/>
      <c r="G913" s="226"/>
      <c r="H913" s="226"/>
      <c r="I913" s="226"/>
      <c r="J913" s="226"/>
      <c r="K913" s="226"/>
      <c r="L913" s="226"/>
      <c r="M913" s="226"/>
      <c r="N913" s="226"/>
      <c r="O913" s="226"/>
      <c r="P913" s="226"/>
      <c r="Q913" s="226"/>
      <c r="R913" s="226"/>
      <c r="S913" s="226"/>
      <c r="T913" s="226"/>
      <c r="U913" s="226"/>
      <c r="V913" s="226"/>
      <c r="W913" s="226"/>
      <c r="X913" s="226"/>
    </row>
    <row r="914" spans="1:24" ht="14.25" x14ac:dyDescent="0.2">
      <c r="A914" s="226"/>
      <c r="B914" s="226"/>
      <c r="C914" s="226"/>
      <c r="D914" s="226"/>
      <c r="E914" s="226"/>
      <c r="F914" s="226"/>
      <c r="G914" s="226"/>
      <c r="H914" s="226"/>
      <c r="I914" s="226"/>
      <c r="J914" s="226"/>
      <c r="K914" s="226"/>
      <c r="L914" s="226"/>
      <c r="M914" s="226"/>
      <c r="N914" s="226"/>
      <c r="O914" s="226"/>
      <c r="P914" s="226"/>
      <c r="Q914" s="226"/>
      <c r="R914" s="226"/>
      <c r="S914" s="226"/>
      <c r="T914" s="226"/>
      <c r="U914" s="226"/>
      <c r="V914" s="226"/>
      <c r="W914" s="226"/>
      <c r="X914" s="226"/>
    </row>
    <row r="915" spans="1:24" ht="14.25" x14ac:dyDescent="0.2">
      <c r="A915" s="226"/>
      <c r="B915" s="226"/>
      <c r="C915" s="226"/>
      <c r="D915" s="226"/>
      <c r="E915" s="226"/>
      <c r="F915" s="226"/>
      <c r="G915" s="226"/>
      <c r="H915" s="226"/>
      <c r="I915" s="226"/>
      <c r="J915" s="226"/>
      <c r="K915" s="226"/>
      <c r="L915" s="226"/>
      <c r="M915" s="226"/>
      <c r="N915" s="226"/>
      <c r="O915" s="226"/>
      <c r="P915" s="226"/>
      <c r="Q915" s="226"/>
      <c r="R915" s="226"/>
      <c r="S915" s="226"/>
      <c r="T915" s="226"/>
      <c r="U915" s="226"/>
      <c r="V915" s="226"/>
      <c r="W915" s="226"/>
      <c r="X915" s="226"/>
    </row>
    <row r="916" spans="1:24" ht="14.25" x14ac:dyDescent="0.2">
      <c r="A916" s="226"/>
      <c r="B916" s="226"/>
      <c r="C916" s="226"/>
      <c r="D916" s="226"/>
      <c r="E916" s="226"/>
      <c r="F916" s="226"/>
      <c r="G916" s="226"/>
      <c r="H916" s="226"/>
      <c r="I916" s="226"/>
      <c r="J916" s="226"/>
      <c r="K916" s="226"/>
      <c r="L916" s="226"/>
      <c r="M916" s="226"/>
      <c r="N916" s="226"/>
      <c r="O916" s="226"/>
      <c r="P916" s="226"/>
      <c r="Q916" s="226"/>
      <c r="R916" s="226"/>
      <c r="S916" s="226"/>
      <c r="T916" s="226"/>
      <c r="U916" s="226"/>
      <c r="V916" s="226"/>
      <c r="W916" s="226"/>
      <c r="X916" s="226"/>
    </row>
    <row r="917" spans="1:24" ht="14.25" x14ac:dyDescent="0.2">
      <c r="A917" s="226"/>
      <c r="B917" s="226"/>
      <c r="C917" s="226"/>
      <c r="D917" s="226"/>
      <c r="E917" s="226"/>
      <c r="F917" s="226"/>
      <c r="G917" s="226"/>
      <c r="H917" s="226"/>
      <c r="I917" s="226"/>
      <c r="J917" s="226"/>
      <c r="K917" s="226"/>
      <c r="L917" s="226"/>
      <c r="M917" s="226"/>
      <c r="N917" s="226"/>
      <c r="O917" s="226"/>
      <c r="P917" s="226"/>
      <c r="Q917" s="226"/>
      <c r="R917" s="226"/>
      <c r="S917" s="226"/>
      <c r="T917" s="226"/>
      <c r="U917" s="226"/>
      <c r="V917" s="226"/>
      <c r="W917" s="226"/>
      <c r="X917" s="226"/>
    </row>
    <row r="918" spans="1:24" ht="14.25" x14ac:dyDescent="0.2">
      <c r="A918" s="226"/>
      <c r="B918" s="226"/>
      <c r="C918" s="226"/>
      <c r="D918" s="226"/>
      <c r="E918" s="226"/>
      <c r="F918" s="226"/>
      <c r="G918" s="226"/>
      <c r="H918" s="226"/>
      <c r="I918" s="226"/>
      <c r="J918" s="226"/>
      <c r="K918" s="226"/>
      <c r="L918" s="226"/>
      <c r="M918" s="226"/>
      <c r="N918" s="226"/>
      <c r="O918" s="226"/>
      <c r="P918" s="226"/>
      <c r="Q918" s="226"/>
      <c r="R918" s="226"/>
      <c r="S918" s="226"/>
      <c r="T918" s="226"/>
      <c r="U918" s="226"/>
      <c r="V918" s="226"/>
      <c r="W918" s="226"/>
      <c r="X918" s="226"/>
    </row>
    <row r="919" spans="1:24" ht="14.25" x14ac:dyDescent="0.2">
      <c r="A919" s="226"/>
      <c r="B919" s="226"/>
      <c r="C919" s="226"/>
      <c r="D919" s="226"/>
      <c r="E919" s="226"/>
      <c r="F919" s="226"/>
      <c r="G919" s="226"/>
      <c r="H919" s="226"/>
      <c r="I919" s="226"/>
      <c r="J919" s="226"/>
      <c r="K919" s="226"/>
      <c r="L919" s="226"/>
      <c r="M919" s="226"/>
      <c r="N919" s="226"/>
      <c r="O919" s="226"/>
      <c r="P919" s="226"/>
      <c r="Q919" s="226"/>
      <c r="R919" s="226"/>
      <c r="S919" s="226"/>
      <c r="T919" s="226"/>
      <c r="U919" s="226"/>
      <c r="V919" s="226"/>
      <c r="W919" s="226"/>
      <c r="X919" s="226"/>
    </row>
    <row r="920" spans="1:24" ht="14.25" x14ac:dyDescent="0.2">
      <c r="A920" s="226"/>
      <c r="B920" s="226"/>
      <c r="C920" s="226"/>
      <c r="D920" s="226"/>
      <c r="E920" s="226"/>
      <c r="F920" s="226"/>
      <c r="G920" s="226"/>
      <c r="H920" s="226"/>
      <c r="I920" s="226"/>
      <c r="J920" s="226"/>
      <c r="K920" s="226"/>
      <c r="L920" s="226"/>
      <c r="M920" s="226"/>
      <c r="N920" s="226"/>
      <c r="O920" s="226"/>
      <c r="P920" s="226"/>
      <c r="Q920" s="226"/>
      <c r="R920" s="226"/>
      <c r="S920" s="226"/>
      <c r="T920" s="226"/>
      <c r="U920" s="226"/>
      <c r="V920" s="226"/>
      <c r="W920" s="226"/>
      <c r="X920" s="226"/>
    </row>
    <row r="921" spans="1:24" ht="14.25" x14ac:dyDescent="0.2">
      <c r="A921" s="226"/>
      <c r="B921" s="226"/>
      <c r="C921" s="226"/>
      <c r="D921" s="226"/>
      <c r="E921" s="226"/>
      <c r="F921" s="226"/>
      <c r="G921" s="226"/>
      <c r="H921" s="226"/>
      <c r="I921" s="226"/>
      <c r="J921" s="226"/>
      <c r="K921" s="226"/>
      <c r="L921" s="226"/>
      <c r="M921" s="226"/>
      <c r="N921" s="226"/>
      <c r="O921" s="226"/>
      <c r="P921" s="226"/>
      <c r="Q921" s="226"/>
      <c r="R921" s="226"/>
      <c r="S921" s="226"/>
      <c r="T921" s="226"/>
      <c r="U921" s="226"/>
      <c r="V921" s="226"/>
      <c r="W921" s="226"/>
      <c r="X921" s="226"/>
    </row>
    <row r="922" spans="1:24" ht="14.25" x14ac:dyDescent="0.2">
      <c r="A922" s="226"/>
      <c r="B922" s="226"/>
      <c r="C922" s="226"/>
      <c r="D922" s="226"/>
      <c r="E922" s="226"/>
      <c r="F922" s="226"/>
      <c r="G922" s="226"/>
      <c r="H922" s="226"/>
      <c r="I922" s="226"/>
      <c r="J922" s="226"/>
      <c r="K922" s="226"/>
      <c r="L922" s="226"/>
      <c r="M922" s="226"/>
      <c r="N922" s="226"/>
      <c r="O922" s="226"/>
      <c r="P922" s="226"/>
      <c r="Q922" s="226"/>
      <c r="R922" s="226"/>
      <c r="S922" s="226"/>
      <c r="T922" s="226"/>
      <c r="U922" s="226"/>
      <c r="V922" s="226"/>
      <c r="W922" s="226"/>
      <c r="X922" s="226"/>
    </row>
    <row r="923" spans="1:24" ht="14.25" x14ac:dyDescent="0.2">
      <c r="A923" s="226"/>
      <c r="B923" s="226"/>
      <c r="C923" s="226"/>
      <c r="D923" s="226"/>
      <c r="E923" s="226"/>
      <c r="F923" s="226"/>
      <c r="G923" s="226"/>
      <c r="H923" s="226"/>
      <c r="I923" s="226"/>
      <c r="J923" s="226"/>
      <c r="K923" s="226"/>
      <c r="L923" s="226"/>
      <c r="M923" s="226"/>
      <c r="N923" s="226"/>
      <c r="O923" s="226"/>
      <c r="P923" s="226"/>
      <c r="Q923" s="226"/>
      <c r="R923" s="226"/>
      <c r="S923" s="226"/>
      <c r="T923" s="226"/>
      <c r="U923" s="226"/>
      <c r="V923" s="226"/>
      <c r="W923" s="226"/>
      <c r="X923" s="226"/>
    </row>
    <row r="924" spans="1:24" ht="14.25" x14ac:dyDescent="0.2">
      <c r="A924" s="226"/>
      <c r="B924" s="226"/>
      <c r="C924" s="226"/>
      <c r="D924" s="226"/>
      <c r="E924" s="226"/>
      <c r="F924" s="226"/>
      <c r="G924" s="226"/>
      <c r="H924" s="226"/>
      <c r="I924" s="226"/>
      <c r="J924" s="226"/>
      <c r="K924" s="226"/>
      <c r="L924" s="226"/>
      <c r="M924" s="226"/>
      <c r="N924" s="226"/>
      <c r="O924" s="226"/>
      <c r="P924" s="226"/>
      <c r="Q924" s="226"/>
      <c r="R924" s="226"/>
      <c r="S924" s="226"/>
      <c r="T924" s="226"/>
      <c r="U924" s="226"/>
      <c r="V924" s="226"/>
      <c r="W924" s="226"/>
      <c r="X924" s="226"/>
    </row>
    <row r="925" spans="1:24" ht="14.25" x14ac:dyDescent="0.2">
      <c r="A925" s="226"/>
      <c r="B925" s="226"/>
      <c r="C925" s="226"/>
      <c r="D925" s="226"/>
      <c r="E925" s="226"/>
      <c r="F925" s="226"/>
      <c r="G925" s="226"/>
      <c r="H925" s="226"/>
      <c r="I925" s="226"/>
      <c r="J925" s="226"/>
      <c r="K925" s="226"/>
      <c r="L925" s="226"/>
      <c r="M925" s="226"/>
      <c r="N925" s="226"/>
      <c r="O925" s="226"/>
      <c r="P925" s="226"/>
      <c r="Q925" s="226"/>
      <c r="R925" s="226"/>
      <c r="S925" s="226"/>
      <c r="T925" s="226"/>
      <c r="U925" s="226"/>
      <c r="V925" s="226"/>
      <c r="W925" s="226"/>
      <c r="X925" s="226"/>
    </row>
    <row r="926" spans="1:24" ht="14.25" x14ac:dyDescent="0.2">
      <c r="A926" s="226"/>
      <c r="B926" s="226"/>
      <c r="C926" s="226"/>
      <c r="D926" s="226"/>
      <c r="E926" s="226"/>
      <c r="F926" s="226"/>
      <c r="G926" s="226"/>
      <c r="H926" s="226"/>
      <c r="I926" s="226"/>
      <c r="J926" s="226"/>
      <c r="K926" s="226"/>
      <c r="L926" s="226"/>
      <c r="M926" s="226"/>
      <c r="N926" s="226"/>
      <c r="O926" s="226"/>
      <c r="P926" s="226"/>
      <c r="Q926" s="226"/>
      <c r="R926" s="226"/>
      <c r="S926" s="226"/>
      <c r="T926" s="226"/>
      <c r="U926" s="226"/>
      <c r="V926" s="226"/>
      <c r="W926" s="226"/>
      <c r="X926" s="226"/>
    </row>
    <row r="927" spans="1:24" ht="14.25" x14ac:dyDescent="0.2">
      <c r="A927" s="226"/>
      <c r="B927" s="226"/>
      <c r="C927" s="226"/>
      <c r="D927" s="226"/>
      <c r="E927" s="226"/>
      <c r="F927" s="226"/>
      <c r="G927" s="226"/>
      <c r="H927" s="226"/>
      <c r="I927" s="226"/>
      <c r="J927" s="226"/>
      <c r="K927" s="226"/>
      <c r="L927" s="226"/>
      <c r="M927" s="226"/>
      <c r="N927" s="226"/>
      <c r="O927" s="226"/>
      <c r="P927" s="226"/>
      <c r="Q927" s="226"/>
      <c r="R927" s="226"/>
      <c r="S927" s="226"/>
      <c r="T927" s="226"/>
      <c r="U927" s="226"/>
      <c r="V927" s="226"/>
      <c r="W927" s="226"/>
      <c r="X927" s="226"/>
    </row>
    <row r="928" spans="1:24" ht="14.25" x14ac:dyDescent="0.2">
      <c r="A928" s="226"/>
      <c r="B928" s="226"/>
      <c r="C928" s="226"/>
      <c r="D928" s="226"/>
      <c r="E928" s="226"/>
      <c r="F928" s="226"/>
      <c r="G928" s="226"/>
      <c r="H928" s="226"/>
      <c r="I928" s="226"/>
      <c r="J928" s="226"/>
      <c r="K928" s="226"/>
      <c r="L928" s="226"/>
      <c r="M928" s="226"/>
      <c r="N928" s="226"/>
      <c r="O928" s="226"/>
      <c r="P928" s="226"/>
      <c r="Q928" s="226"/>
      <c r="R928" s="226"/>
      <c r="S928" s="226"/>
      <c r="T928" s="226"/>
      <c r="U928" s="226"/>
      <c r="V928" s="226"/>
      <c r="W928" s="226"/>
      <c r="X928" s="226"/>
    </row>
    <row r="929" spans="1:24" ht="14.25" x14ac:dyDescent="0.2">
      <c r="A929" s="226"/>
      <c r="B929" s="226"/>
      <c r="C929" s="226"/>
      <c r="D929" s="226"/>
      <c r="E929" s="226"/>
      <c r="F929" s="226"/>
      <c r="G929" s="226"/>
      <c r="H929" s="226"/>
      <c r="I929" s="226"/>
      <c r="J929" s="226"/>
      <c r="K929" s="226"/>
      <c r="L929" s="226"/>
      <c r="M929" s="226"/>
      <c r="N929" s="226"/>
      <c r="O929" s="226"/>
      <c r="P929" s="226"/>
      <c r="Q929" s="226"/>
      <c r="R929" s="226"/>
      <c r="S929" s="226"/>
      <c r="T929" s="226"/>
      <c r="U929" s="226"/>
      <c r="V929" s="226"/>
      <c r="W929" s="226"/>
      <c r="X929" s="226"/>
    </row>
    <row r="930" spans="1:24" ht="14.25" x14ac:dyDescent="0.2">
      <c r="A930" s="226"/>
      <c r="B930" s="226"/>
      <c r="C930" s="226"/>
      <c r="D930" s="226"/>
      <c r="E930" s="226"/>
      <c r="F930" s="226"/>
      <c r="G930" s="226"/>
      <c r="H930" s="226"/>
      <c r="I930" s="226"/>
      <c r="J930" s="226"/>
      <c r="K930" s="226"/>
      <c r="L930" s="226"/>
      <c r="M930" s="226"/>
      <c r="N930" s="226"/>
      <c r="O930" s="226"/>
      <c r="P930" s="226"/>
      <c r="Q930" s="226"/>
      <c r="R930" s="226"/>
      <c r="S930" s="226"/>
      <c r="T930" s="226"/>
      <c r="U930" s="226"/>
      <c r="V930" s="226"/>
      <c r="W930" s="226"/>
      <c r="X930" s="226"/>
    </row>
    <row r="931" spans="1:24" ht="14.25" x14ac:dyDescent="0.2">
      <c r="A931" s="226"/>
      <c r="B931" s="226"/>
      <c r="C931" s="226"/>
      <c r="D931" s="226"/>
      <c r="E931" s="226"/>
      <c r="F931" s="226"/>
      <c r="G931" s="226"/>
      <c r="H931" s="226"/>
      <c r="I931" s="226"/>
      <c r="J931" s="226"/>
      <c r="K931" s="226"/>
      <c r="L931" s="226"/>
      <c r="M931" s="226"/>
      <c r="N931" s="226"/>
      <c r="O931" s="226"/>
      <c r="P931" s="226"/>
      <c r="Q931" s="226"/>
      <c r="R931" s="226"/>
      <c r="S931" s="226"/>
      <c r="T931" s="226"/>
      <c r="U931" s="226"/>
      <c r="V931" s="226"/>
      <c r="W931" s="226"/>
      <c r="X931" s="226"/>
    </row>
    <row r="932" spans="1:24" ht="14.25" x14ac:dyDescent="0.2">
      <c r="A932" s="226"/>
      <c r="B932" s="226"/>
      <c r="C932" s="226"/>
      <c r="D932" s="226"/>
      <c r="E932" s="226"/>
      <c r="F932" s="226"/>
      <c r="G932" s="226"/>
      <c r="H932" s="226"/>
      <c r="I932" s="226"/>
      <c r="J932" s="226"/>
      <c r="K932" s="226"/>
      <c r="L932" s="226"/>
      <c r="M932" s="226"/>
      <c r="N932" s="226"/>
      <c r="O932" s="226"/>
      <c r="P932" s="226"/>
      <c r="Q932" s="226"/>
      <c r="R932" s="226"/>
      <c r="S932" s="226"/>
      <c r="T932" s="226"/>
      <c r="U932" s="226"/>
      <c r="V932" s="226"/>
      <c r="W932" s="226"/>
      <c r="X932" s="226"/>
    </row>
    <row r="933" spans="1:24" ht="14.25" x14ac:dyDescent="0.2">
      <c r="A933" s="226"/>
      <c r="B933" s="226"/>
      <c r="C933" s="226"/>
      <c r="D933" s="226"/>
      <c r="E933" s="226"/>
      <c r="F933" s="226"/>
      <c r="G933" s="226"/>
      <c r="H933" s="226"/>
      <c r="I933" s="226"/>
      <c r="J933" s="226"/>
      <c r="K933" s="226"/>
      <c r="L933" s="226"/>
      <c r="M933" s="226"/>
      <c r="N933" s="226"/>
      <c r="O933" s="226"/>
      <c r="P933" s="226"/>
      <c r="Q933" s="226"/>
      <c r="R933" s="226"/>
      <c r="S933" s="226"/>
      <c r="T933" s="226"/>
      <c r="U933" s="226"/>
      <c r="V933" s="226"/>
      <c r="W933" s="226"/>
      <c r="X933" s="226"/>
    </row>
    <row r="934" spans="1:24" ht="14.25" x14ac:dyDescent="0.2">
      <c r="A934" s="226"/>
      <c r="B934" s="226"/>
      <c r="C934" s="226"/>
      <c r="D934" s="226"/>
      <c r="E934" s="226"/>
      <c r="F934" s="226"/>
      <c r="G934" s="226"/>
      <c r="H934" s="226"/>
      <c r="I934" s="226"/>
      <c r="J934" s="226"/>
      <c r="K934" s="226"/>
      <c r="L934" s="226"/>
      <c r="M934" s="226"/>
      <c r="N934" s="226"/>
      <c r="O934" s="226"/>
      <c r="P934" s="226"/>
      <c r="Q934" s="226"/>
      <c r="R934" s="226"/>
      <c r="S934" s="226"/>
      <c r="T934" s="226"/>
      <c r="U934" s="226"/>
      <c r="V934" s="226"/>
      <c r="W934" s="226"/>
      <c r="X934" s="226"/>
    </row>
    <row r="935" spans="1:24" ht="14.25" x14ac:dyDescent="0.2">
      <c r="A935" s="226"/>
      <c r="B935" s="226"/>
      <c r="C935" s="226"/>
      <c r="D935" s="226"/>
      <c r="E935" s="226"/>
      <c r="F935" s="226"/>
      <c r="G935" s="226"/>
      <c r="H935" s="226"/>
      <c r="I935" s="226"/>
      <c r="J935" s="226"/>
      <c r="K935" s="226"/>
      <c r="L935" s="226"/>
      <c r="M935" s="226"/>
      <c r="N935" s="226"/>
      <c r="O935" s="226"/>
      <c r="P935" s="226"/>
      <c r="Q935" s="226"/>
      <c r="R935" s="226"/>
      <c r="S935" s="226"/>
      <c r="T935" s="226"/>
      <c r="U935" s="226"/>
      <c r="V935" s="226"/>
      <c r="W935" s="226"/>
      <c r="X935" s="226"/>
    </row>
    <row r="936" spans="1:24" ht="14.25" x14ac:dyDescent="0.2">
      <c r="A936" s="226"/>
      <c r="B936" s="226"/>
      <c r="C936" s="226"/>
      <c r="D936" s="226"/>
      <c r="E936" s="226"/>
      <c r="F936" s="226"/>
      <c r="G936" s="226"/>
      <c r="H936" s="226"/>
      <c r="I936" s="226"/>
      <c r="J936" s="226"/>
      <c r="K936" s="226"/>
      <c r="L936" s="226"/>
      <c r="M936" s="226"/>
      <c r="N936" s="226"/>
      <c r="O936" s="226"/>
      <c r="P936" s="226"/>
      <c r="Q936" s="226"/>
      <c r="R936" s="226"/>
      <c r="S936" s="226"/>
      <c r="T936" s="226"/>
      <c r="U936" s="226"/>
      <c r="V936" s="226"/>
      <c r="W936" s="226"/>
      <c r="X936" s="226"/>
    </row>
    <row r="937" spans="1:24" ht="14.25" x14ac:dyDescent="0.2">
      <c r="A937" s="226"/>
      <c r="B937" s="226"/>
      <c r="C937" s="226"/>
      <c r="D937" s="226"/>
      <c r="E937" s="226"/>
      <c r="F937" s="226"/>
      <c r="G937" s="226"/>
      <c r="H937" s="226"/>
      <c r="I937" s="226"/>
      <c r="J937" s="226"/>
      <c r="K937" s="226"/>
      <c r="L937" s="226"/>
      <c r="M937" s="226"/>
      <c r="N937" s="226"/>
      <c r="O937" s="226"/>
      <c r="P937" s="226"/>
      <c r="Q937" s="226"/>
      <c r="R937" s="226"/>
      <c r="S937" s="226"/>
      <c r="T937" s="226"/>
      <c r="U937" s="226"/>
      <c r="V937" s="226"/>
      <c r="W937" s="226"/>
      <c r="X937" s="226"/>
    </row>
    <row r="938" spans="1:24" ht="14.25" x14ac:dyDescent="0.2">
      <c r="A938" s="226"/>
      <c r="B938" s="226"/>
      <c r="C938" s="226"/>
      <c r="D938" s="226"/>
      <c r="E938" s="226"/>
      <c r="F938" s="226"/>
      <c r="G938" s="226"/>
      <c r="H938" s="226"/>
      <c r="I938" s="226"/>
      <c r="J938" s="226"/>
      <c r="K938" s="226"/>
      <c r="L938" s="226"/>
      <c r="M938" s="226"/>
      <c r="N938" s="226"/>
      <c r="O938" s="226"/>
      <c r="P938" s="226"/>
      <c r="Q938" s="226"/>
      <c r="R938" s="226"/>
      <c r="S938" s="226"/>
      <c r="T938" s="226"/>
      <c r="U938" s="226"/>
      <c r="V938" s="226"/>
      <c r="W938" s="226"/>
      <c r="X938" s="226"/>
    </row>
    <row r="939" spans="1:24" ht="14.25" x14ac:dyDescent="0.2">
      <c r="A939" s="226"/>
      <c r="B939" s="226"/>
      <c r="C939" s="226"/>
      <c r="D939" s="226"/>
      <c r="E939" s="226"/>
      <c r="F939" s="226"/>
      <c r="G939" s="226"/>
      <c r="H939" s="226"/>
      <c r="I939" s="226"/>
      <c r="J939" s="226"/>
      <c r="K939" s="226"/>
      <c r="L939" s="226"/>
      <c r="M939" s="226"/>
      <c r="N939" s="226"/>
      <c r="O939" s="226"/>
      <c r="P939" s="226"/>
      <c r="Q939" s="226"/>
      <c r="R939" s="226"/>
      <c r="S939" s="226"/>
      <c r="T939" s="226"/>
      <c r="U939" s="226"/>
      <c r="V939" s="226"/>
      <c r="W939" s="226"/>
      <c r="X939" s="226"/>
    </row>
    <row r="940" spans="1:24" ht="14.25" x14ac:dyDescent="0.2">
      <c r="A940" s="226"/>
      <c r="B940" s="226"/>
      <c r="C940" s="226"/>
      <c r="D940" s="226"/>
      <c r="E940" s="226"/>
      <c r="F940" s="226"/>
      <c r="G940" s="226"/>
      <c r="H940" s="226"/>
      <c r="I940" s="226"/>
      <c r="J940" s="226"/>
      <c r="K940" s="226"/>
      <c r="L940" s="226"/>
      <c r="M940" s="226"/>
      <c r="N940" s="226"/>
      <c r="O940" s="226"/>
      <c r="P940" s="226"/>
      <c r="Q940" s="226"/>
      <c r="R940" s="226"/>
      <c r="S940" s="226"/>
      <c r="T940" s="226"/>
      <c r="U940" s="226"/>
      <c r="V940" s="226"/>
      <c r="W940" s="226"/>
      <c r="X940" s="226"/>
    </row>
    <row r="941" spans="1:24" ht="14.25" x14ac:dyDescent="0.2">
      <c r="A941" s="226"/>
      <c r="B941" s="226"/>
      <c r="C941" s="226"/>
      <c r="D941" s="226"/>
      <c r="E941" s="226"/>
      <c r="F941" s="226"/>
      <c r="G941" s="226"/>
      <c r="H941" s="226"/>
      <c r="I941" s="226"/>
      <c r="J941" s="226"/>
      <c r="K941" s="226"/>
      <c r="L941" s="226"/>
      <c r="M941" s="226"/>
      <c r="N941" s="226"/>
      <c r="O941" s="226"/>
      <c r="P941" s="226"/>
      <c r="Q941" s="226"/>
      <c r="R941" s="226"/>
      <c r="S941" s="226"/>
      <c r="T941" s="226"/>
      <c r="U941" s="226"/>
      <c r="V941" s="226"/>
      <c r="W941" s="226"/>
      <c r="X941" s="226"/>
    </row>
    <row r="942" spans="1:24" ht="14.25" x14ac:dyDescent="0.2">
      <c r="A942" s="226"/>
      <c r="B942" s="226"/>
      <c r="C942" s="226"/>
      <c r="D942" s="226"/>
      <c r="E942" s="226"/>
      <c r="F942" s="226"/>
      <c r="G942" s="226"/>
      <c r="H942" s="226"/>
      <c r="I942" s="226"/>
      <c r="J942" s="226"/>
      <c r="K942" s="226"/>
      <c r="L942" s="226"/>
      <c r="M942" s="226"/>
      <c r="N942" s="226"/>
      <c r="O942" s="226"/>
      <c r="P942" s="226"/>
      <c r="Q942" s="226"/>
      <c r="R942" s="226"/>
      <c r="S942" s="226"/>
      <c r="T942" s="226"/>
      <c r="U942" s="226"/>
      <c r="V942" s="226"/>
      <c r="W942" s="226"/>
      <c r="X942" s="226"/>
    </row>
    <row r="943" spans="1:24" ht="14.25" x14ac:dyDescent="0.2">
      <c r="A943" s="226"/>
      <c r="B943" s="226"/>
      <c r="C943" s="226"/>
      <c r="D943" s="226"/>
      <c r="E943" s="226"/>
      <c r="F943" s="226"/>
      <c r="G943" s="226"/>
      <c r="H943" s="226"/>
      <c r="I943" s="226"/>
      <c r="J943" s="226"/>
      <c r="K943" s="226"/>
      <c r="L943" s="226"/>
      <c r="M943" s="226"/>
      <c r="N943" s="226"/>
      <c r="O943" s="226"/>
      <c r="P943" s="226"/>
      <c r="Q943" s="226"/>
      <c r="R943" s="226"/>
      <c r="S943" s="226"/>
      <c r="T943" s="226"/>
      <c r="U943" s="226"/>
      <c r="V943" s="226"/>
      <c r="W943" s="226"/>
      <c r="X943" s="226"/>
    </row>
    <row r="944" spans="1:24" ht="14.25" x14ac:dyDescent="0.2">
      <c r="A944" s="226"/>
      <c r="B944" s="226"/>
      <c r="C944" s="226"/>
      <c r="D944" s="226"/>
      <c r="E944" s="226"/>
      <c r="F944" s="226"/>
      <c r="G944" s="226"/>
      <c r="H944" s="226"/>
      <c r="I944" s="226"/>
      <c r="J944" s="226"/>
      <c r="K944" s="226"/>
      <c r="L944" s="226"/>
      <c r="M944" s="226"/>
      <c r="N944" s="226"/>
      <c r="O944" s="226"/>
      <c r="P944" s="226"/>
      <c r="Q944" s="226"/>
      <c r="R944" s="226"/>
      <c r="S944" s="226"/>
      <c r="T944" s="226"/>
      <c r="U944" s="226"/>
      <c r="V944" s="226"/>
      <c r="W944" s="226"/>
      <c r="X944" s="226"/>
    </row>
    <row r="945" spans="1:24" ht="14.25" x14ac:dyDescent="0.2">
      <c r="A945" s="226"/>
      <c r="B945" s="226"/>
      <c r="C945" s="226"/>
      <c r="D945" s="226"/>
      <c r="E945" s="226"/>
      <c r="F945" s="226"/>
      <c r="G945" s="226"/>
      <c r="H945" s="226"/>
      <c r="I945" s="226"/>
      <c r="J945" s="226"/>
      <c r="K945" s="226"/>
      <c r="L945" s="226"/>
      <c r="M945" s="226"/>
      <c r="N945" s="226"/>
      <c r="O945" s="226"/>
      <c r="P945" s="226"/>
      <c r="Q945" s="226"/>
      <c r="R945" s="226"/>
      <c r="S945" s="226"/>
      <c r="T945" s="226"/>
      <c r="U945" s="226"/>
      <c r="V945" s="226"/>
      <c r="W945" s="226"/>
      <c r="X945" s="226"/>
    </row>
    <row r="946" spans="1:24" ht="14.25" x14ac:dyDescent="0.2">
      <c r="A946" s="226"/>
      <c r="B946" s="226"/>
      <c r="C946" s="226"/>
      <c r="D946" s="226"/>
      <c r="E946" s="226"/>
      <c r="F946" s="226"/>
      <c r="G946" s="226"/>
      <c r="H946" s="226"/>
      <c r="I946" s="226"/>
      <c r="J946" s="226"/>
      <c r="K946" s="226"/>
      <c r="L946" s="226"/>
      <c r="M946" s="226"/>
      <c r="N946" s="226"/>
      <c r="O946" s="226"/>
      <c r="P946" s="226"/>
      <c r="Q946" s="226"/>
      <c r="R946" s="226"/>
      <c r="S946" s="226"/>
      <c r="T946" s="226"/>
      <c r="U946" s="226"/>
      <c r="V946" s="226"/>
      <c r="W946" s="226"/>
      <c r="X946" s="226"/>
    </row>
    <row r="947" spans="1:24" ht="14.25" x14ac:dyDescent="0.2">
      <c r="A947" s="226"/>
      <c r="B947" s="226"/>
      <c r="C947" s="226"/>
      <c r="D947" s="226"/>
      <c r="E947" s="226"/>
      <c r="F947" s="226"/>
      <c r="G947" s="226"/>
      <c r="H947" s="226"/>
      <c r="I947" s="226"/>
      <c r="J947" s="226"/>
      <c r="K947" s="226"/>
      <c r="L947" s="226"/>
      <c r="M947" s="226"/>
      <c r="N947" s="226"/>
      <c r="O947" s="226"/>
      <c r="P947" s="226"/>
      <c r="Q947" s="226"/>
      <c r="R947" s="226"/>
      <c r="S947" s="226"/>
      <c r="T947" s="226"/>
      <c r="U947" s="226"/>
      <c r="V947" s="226"/>
      <c r="W947" s="226"/>
      <c r="X947" s="226"/>
    </row>
    <row r="948" spans="1:24" ht="14.25" x14ac:dyDescent="0.2">
      <c r="A948" s="226"/>
      <c r="B948" s="226"/>
      <c r="C948" s="226"/>
      <c r="D948" s="226"/>
      <c r="E948" s="226"/>
      <c r="F948" s="226"/>
      <c r="G948" s="226"/>
      <c r="H948" s="226"/>
      <c r="I948" s="226"/>
      <c r="J948" s="226"/>
      <c r="K948" s="226"/>
      <c r="L948" s="226"/>
      <c r="M948" s="226"/>
      <c r="N948" s="226"/>
      <c r="O948" s="226"/>
      <c r="P948" s="226"/>
      <c r="Q948" s="226"/>
      <c r="R948" s="226"/>
      <c r="S948" s="226"/>
      <c r="T948" s="226"/>
      <c r="U948" s="226"/>
      <c r="V948" s="226"/>
      <c r="W948" s="226"/>
      <c r="X948" s="226"/>
    </row>
    <row r="949" spans="1:24" ht="14.25" x14ac:dyDescent="0.2">
      <c r="A949" s="226"/>
      <c r="B949" s="226"/>
      <c r="C949" s="226"/>
      <c r="D949" s="226"/>
      <c r="E949" s="226"/>
      <c r="F949" s="226"/>
      <c r="G949" s="226"/>
      <c r="H949" s="226"/>
      <c r="I949" s="226"/>
      <c r="J949" s="226"/>
      <c r="K949" s="226"/>
      <c r="L949" s="226"/>
      <c r="M949" s="226"/>
      <c r="N949" s="226"/>
      <c r="O949" s="226"/>
      <c r="P949" s="226"/>
      <c r="Q949" s="226"/>
      <c r="R949" s="226"/>
      <c r="S949" s="226"/>
      <c r="T949" s="226"/>
      <c r="U949" s="226"/>
      <c r="V949" s="226"/>
      <c r="W949" s="226"/>
      <c r="X949" s="226"/>
    </row>
    <row r="950" spans="1:24" ht="14.25" x14ac:dyDescent="0.2">
      <c r="A950" s="226"/>
      <c r="B950" s="226"/>
      <c r="C950" s="226"/>
      <c r="D950" s="226"/>
      <c r="E950" s="226"/>
      <c r="F950" s="226"/>
      <c r="G950" s="226"/>
      <c r="H950" s="226"/>
      <c r="I950" s="226"/>
      <c r="J950" s="226"/>
      <c r="K950" s="226"/>
      <c r="L950" s="226"/>
      <c r="M950" s="226"/>
      <c r="N950" s="226"/>
      <c r="O950" s="226"/>
      <c r="P950" s="226"/>
      <c r="Q950" s="226"/>
      <c r="R950" s="226"/>
      <c r="S950" s="226"/>
      <c r="T950" s="226"/>
      <c r="U950" s="226"/>
      <c r="V950" s="226"/>
      <c r="W950" s="226"/>
      <c r="X950" s="226"/>
    </row>
    <row r="951" spans="1:24" ht="14.25" x14ac:dyDescent="0.2">
      <c r="A951" s="226"/>
      <c r="B951" s="226"/>
      <c r="C951" s="226"/>
      <c r="D951" s="226"/>
      <c r="E951" s="226"/>
      <c r="F951" s="226"/>
      <c r="G951" s="226"/>
      <c r="H951" s="226"/>
      <c r="I951" s="226"/>
      <c r="J951" s="226"/>
      <c r="K951" s="226"/>
      <c r="L951" s="226"/>
      <c r="M951" s="226"/>
      <c r="N951" s="226"/>
      <c r="O951" s="226"/>
      <c r="P951" s="226"/>
      <c r="Q951" s="226"/>
      <c r="R951" s="226"/>
      <c r="S951" s="226"/>
      <c r="T951" s="226"/>
      <c r="U951" s="226"/>
      <c r="V951" s="226"/>
      <c r="W951" s="226"/>
      <c r="X951" s="226"/>
    </row>
    <row r="952" spans="1:24" ht="14.25" x14ac:dyDescent="0.2">
      <c r="A952" s="226"/>
      <c r="B952" s="226"/>
      <c r="C952" s="226"/>
      <c r="D952" s="226"/>
      <c r="E952" s="226"/>
      <c r="F952" s="226"/>
      <c r="G952" s="226"/>
      <c r="H952" s="226"/>
      <c r="I952" s="226"/>
      <c r="J952" s="226"/>
      <c r="K952" s="226"/>
      <c r="L952" s="226"/>
      <c r="M952" s="226"/>
      <c r="N952" s="226"/>
      <c r="O952" s="226"/>
      <c r="P952" s="226"/>
      <c r="Q952" s="226"/>
      <c r="R952" s="226"/>
      <c r="S952" s="226"/>
      <c r="T952" s="226"/>
      <c r="U952" s="226"/>
      <c r="V952" s="226"/>
      <c r="W952" s="226"/>
      <c r="X952" s="226"/>
    </row>
    <row r="953" spans="1:24" ht="14.25" x14ac:dyDescent="0.2">
      <c r="A953" s="226"/>
      <c r="B953" s="226"/>
      <c r="C953" s="226"/>
      <c r="D953" s="226"/>
      <c r="E953" s="226"/>
      <c r="F953" s="226"/>
      <c r="G953" s="226"/>
      <c r="H953" s="226"/>
      <c r="I953" s="226"/>
      <c r="J953" s="226"/>
      <c r="K953" s="226"/>
      <c r="L953" s="226"/>
      <c r="M953" s="226"/>
      <c r="N953" s="226"/>
      <c r="O953" s="226"/>
      <c r="P953" s="226"/>
      <c r="Q953" s="226"/>
      <c r="R953" s="226"/>
      <c r="S953" s="226"/>
      <c r="T953" s="226"/>
      <c r="U953" s="226"/>
      <c r="V953" s="226"/>
      <c r="W953" s="226"/>
      <c r="X953" s="226"/>
    </row>
    <row r="954" spans="1:24" ht="14.25" x14ac:dyDescent="0.2">
      <c r="A954" s="226"/>
      <c r="B954" s="226"/>
      <c r="C954" s="226"/>
      <c r="D954" s="226"/>
      <c r="E954" s="226"/>
      <c r="F954" s="226"/>
      <c r="G954" s="226"/>
      <c r="H954" s="226"/>
      <c r="I954" s="226"/>
      <c r="J954" s="226"/>
      <c r="K954" s="226"/>
      <c r="L954" s="226"/>
      <c r="M954" s="226"/>
      <c r="N954" s="226"/>
      <c r="O954" s="226"/>
      <c r="P954" s="226"/>
      <c r="Q954" s="226"/>
      <c r="R954" s="226"/>
      <c r="S954" s="226"/>
      <c r="T954" s="226"/>
      <c r="U954" s="226"/>
      <c r="V954" s="226"/>
      <c r="W954" s="226"/>
      <c r="X954" s="226"/>
    </row>
    <row r="955" spans="1:24" ht="14.25" x14ac:dyDescent="0.2">
      <c r="A955" s="226"/>
      <c r="B955" s="226"/>
      <c r="C955" s="226"/>
      <c r="D955" s="226"/>
      <c r="E955" s="226"/>
      <c r="F955" s="226"/>
      <c r="G955" s="226"/>
      <c r="H955" s="226"/>
      <c r="I955" s="226"/>
      <c r="J955" s="226"/>
      <c r="K955" s="226"/>
      <c r="L955" s="226"/>
      <c r="M955" s="226"/>
      <c r="N955" s="226"/>
      <c r="O955" s="226"/>
      <c r="P955" s="226"/>
      <c r="Q955" s="226"/>
      <c r="R955" s="226"/>
      <c r="S955" s="226"/>
      <c r="T955" s="226"/>
      <c r="U955" s="226"/>
      <c r="V955" s="226"/>
      <c r="W955" s="226"/>
      <c r="X955" s="226"/>
    </row>
    <row r="956" spans="1:24" ht="14.25" x14ac:dyDescent="0.2">
      <c r="A956" s="226"/>
      <c r="B956" s="226"/>
      <c r="C956" s="226"/>
      <c r="D956" s="226"/>
      <c r="E956" s="226"/>
      <c r="F956" s="226"/>
      <c r="G956" s="226"/>
      <c r="H956" s="226"/>
      <c r="I956" s="226"/>
      <c r="J956" s="226"/>
      <c r="K956" s="226"/>
      <c r="L956" s="226"/>
      <c r="M956" s="226"/>
      <c r="N956" s="226"/>
      <c r="O956" s="226"/>
      <c r="P956" s="226"/>
      <c r="Q956" s="226"/>
      <c r="R956" s="226"/>
      <c r="S956" s="226"/>
      <c r="T956" s="226"/>
      <c r="U956" s="226"/>
      <c r="V956" s="226"/>
      <c r="W956" s="226"/>
      <c r="X956" s="226"/>
    </row>
    <row r="957" spans="1:24" ht="14.25" x14ac:dyDescent="0.2">
      <c r="A957" s="226"/>
      <c r="B957" s="226"/>
      <c r="C957" s="226"/>
      <c r="D957" s="226"/>
      <c r="E957" s="226"/>
      <c r="F957" s="226"/>
      <c r="G957" s="226"/>
      <c r="H957" s="226"/>
      <c r="I957" s="226"/>
      <c r="J957" s="226"/>
      <c r="K957" s="226"/>
      <c r="L957" s="226"/>
      <c r="M957" s="226"/>
      <c r="N957" s="226"/>
      <c r="O957" s="226"/>
      <c r="P957" s="226"/>
      <c r="Q957" s="226"/>
      <c r="R957" s="226"/>
      <c r="S957" s="226"/>
      <c r="T957" s="226"/>
      <c r="U957" s="226"/>
      <c r="V957" s="226"/>
      <c r="W957" s="226"/>
      <c r="X957" s="226"/>
    </row>
    <row r="958" spans="1:24" ht="14.25" x14ac:dyDescent="0.2">
      <c r="A958" s="226"/>
      <c r="B958" s="226"/>
      <c r="C958" s="226"/>
      <c r="D958" s="226"/>
      <c r="E958" s="226"/>
      <c r="F958" s="226"/>
      <c r="G958" s="226"/>
      <c r="H958" s="226"/>
      <c r="I958" s="226"/>
      <c r="J958" s="226"/>
      <c r="K958" s="226"/>
      <c r="L958" s="226"/>
      <c r="M958" s="226"/>
      <c r="N958" s="226"/>
      <c r="O958" s="226"/>
      <c r="P958" s="226"/>
      <c r="Q958" s="226"/>
      <c r="R958" s="226"/>
      <c r="S958" s="226"/>
      <c r="T958" s="226"/>
      <c r="U958" s="226"/>
      <c r="V958" s="226"/>
      <c r="W958" s="226"/>
      <c r="X958" s="226"/>
    </row>
    <row r="959" spans="1:24" ht="14.25" x14ac:dyDescent="0.2">
      <c r="A959" s="226"/>
      <c r="B959" s="226"/>
      <c r="C959" s="226"/>
      <c r="D959" s="226"/>
      <c r="E959" s="226"/>
      <c r="F959" s="226"/>
      <c r="G959" s="226"/>
      <c r="H959" s="226"/>
      <c r="I959" s="226"/>
      <c r="J959" s="226"/>
      <c r="K959" s="226"/>
      <c r="L959" s="226"/>
      <c r="M959" s="226"/>
      <c r="N959" s="226"/>
      <c r="O959" s="226"/>
      <c r="P959" s="226"/>
      <c r="Q959" s="226"/>
      <c r="R959" s="226"/>
      <c r="S959" s="226"/>
      <c r="T959" s="226"/>
      <c r="U959" s="226"/>
      <c r="V959" s="226"/>
      <c r="W959" s="226"/>
      <c r="X959" s="226"/>
    </row>
    <row r="960" spans="1:24" ht="14.25" x14ac:dyDescent="0.2">
      <c r="A960" s="226"/>
      <c r="B960" s="226"/>
      <c r="C960" s="226"/>
      <c r="D960" s="226"/>
      <c r="E960" s="226"/>
      <c r="F960" s="226"/>
      <c r="G960" s="226"/>
      <c r="H960" s="226"/>
      <c r="I960" s="226"/>
      <c r="J960" s="226"/>
      <c r="K960" s="226"/>
      <c r="L960" s="226"/>
      <c r="M960" s="226"/>
      <c r="N960" s="226"/>
      <c r="O960" s="226"/>
      <c r="P960" s="226"/>
      <c r="Q960" s="226"/>
      <c r="R960" s="226"/>
      <c r="S960" s="226"/>
      <c r="T960" s="226"/>
      <c r="U960" s="226"/>
      <c r="V960" s="226"/>
      <c r="W960" s="226"/>
      <c r="X960" s="226"/>
    </row>
    <row r="961" spans="1:24" ht="14.25" x14ac:dyDescent="0.2">
      <c r="A961" s="226"/>
      <c r="B961" s="226"/>
      <c r="C961" s="226"/>
      <c r="D961" s="226"/>
      <c r="E961" s="226"/>
      <c r="F961" s="226"/>
      <c r="G961" s="226"/>
      <c r="H961" s="226"/>
      <c r="I961" s="226"/>
      <c r="J961" s="226"/>
      <c r="K961" s="226"/>
      <c r="L961" s="226"/>
      <c r="M961" s="226"/>
      <c r="N961" s="226"/>
      <c r="O961" s="226"/>
      <c r="P961" s="226"/>
      <c r="Q961" s="226"/>
      <c r="R961" s="226"/>
      <c r="S961" s="226"/>
      <c r="T961" s="226"/>
      <c r="U961" s="226"/>
      <c r="V961" s="226"/>
      <c r="W961" s="226"/>
      <c r="X961" s="226"/>
    </row>
    <row r="962" spans="1:24" ht="14.25" x14ac:dyDescent="0.2">
      <c r="A962" s="226"/>
      <c r="B962" s="226"/>
      <c r="C962" s="226"/>
      <c r="D962" s="226"/>
      <c r="E962" s="226"/>
      <c r="F962" s="226"/>
      <c r="G962" s="226"/>
      <c r="H962" s="226"/>
      <c r="I962" s="226"/>
      <c r="J962" s="226"/>
      <c r="K962" s="226"/>
      <c r="L962" s="226"/>
      <c r="M962" s="226"/>
      <c r="N962" s="226"/>
      <c r="O962" s="226"/>
      <c r="P962" s="226"/>
      <c r="Q962" s="226"/>
      <c r="R962" s="226"/>
      <c r="S962" s="226"/>
      <c r="T962" s="226"/>
      <c r="U962" s="226"/>
      <c r="V962" s="226"/>
      <c r="W962" s="226"/>
      <c r="X962" s="226"/>
    </row>
    <row r="963" spans="1:24" ht="14.25" x14ac:dyDescent="0.2">
      <c r="A963" s="226"/>
      <c r="B963" s="226"/>
      <c r="C963" s="226"/>
      <c r="D963" s="226"/>
      <c r="E963" s="226"/>
      <c r="F963" s="226"/>
      <c r="G963" s="226"/>
      <c r="H963" s="226"/>
      <c r="I963" s="226"/>
      <c r="J963" s="226"/>
      <c r="K963" s="226"/>
      <c r="L963" s="226"/>
      <c r="M963" s="226"/>
      <c r="N963" s="226"/>
      <c r="O963" s="226"/>
      <c r="P963" s="226"/>
      <c r="Q963" s="226"/>
      <c r="R963" s="226"/>
      <c r="S963" s="226"/>
      <c r="T963" s="226"/>
      <c r="U963" s="226"/>
      <c r="V963" s="226"/>
      <c r="W963" s="226"/>
      <c r="X963" s="226"/>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K3:K237 K303:K334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B26" sqref="B26"/>
    </sheetView>
  </sheetViews>
  <sheetFormatPr defaultColWidth="0" defaultRowHeight="15.75" customHeight="1" zeroHeight="1" x14ac:dyDescent="0.25"/>
  <cols>
    <col min="1" max="1" width="52.69921875" style="5" customWidth="1"/>
    <col min="2" max="2" width="19.59765625" style="5" customWidth="1"/>
    <col min="3" max="3" width="2.59765625" style="228" customWidth="1"/>
    <col min="4" max="4" width="78.09765625" style="5" customWidth="1"/>
    <col min="5" max="5" width="2.59765625" style="230" customWidth="1"/>
    <col min="6" max="6" width="101.69921875" style="5" customWidth="1"/>
    <col min="7" max="7" width="2.59765625" style="230" customWidth="1"/>
    <col min="8" max="8" width="73" style="5" customWidth="1"/>
    <col min="9" max="9" width="2.59765625" style="230" customWidth="1"/>
    <col min="10" max="10" width="14.59765625" style="5" customWidth="1"/>
    <col min="11" max="11" width="2.59765625" style="230" customWidth="1"/>
    <col min="12" max="12" width="14.59765625" style="5" customWidth="1"/>
    <col min="13" max="13" width="2.59765625" style="230" customWidth="1"/>
    <col min="14" max="14" width="8.796875" style="5" customWidth="1"/>
    <col min="15" max="15" width="40.09765625" style="5" bestFit="1" customWidth="1"/>
    <col min="16" max="17" width="8.796875" style="5" customWidth="1"/>
    <col min="18" max="34" width="0" style="5" hidden="1" customWidth="1"/>
    <col min="35" max="16384" width="8.796875" style="5" hidden="1"/>
  </cols>
  <sheetData>
    <row r="1" spans="1:34" ht="15.75" hidden="1" customHeight="1" x14ac:dyDescent="0.25">
      <c r="A1" s="244" t="s">
        <v>1511</v>
      </c>
    </row>
    <row r="2" spans="1:34" ht="13.5" x14ac:dyDescent="0.25">
      <c r="A2" s="7" t="s">
        <v>1497</v>
      </c>
      <c r="B2" s="7" t="s">
        <v>881</v>
      </c>
      <c r="C2" s="227"/>
      <c r="D2" s="7" t="s">
        <v>900</v>
      </c>
      <c r="E2" s="229"/>
      <c r="F2" s="7" t="s">
        <v>974</v>
      </c>
      <c r="G2" s="229"/>
      <c r="H2" s="7" t="s">
        <v>1196</v>
      </c>
      <c r="I2" s="229"/>
      <c r="J2" s="93" t="s">
        <v>888</v>
      </c>
      <c r="K2" s="233"/>
      <c r="L2" s="93" t="s">
        <v>1200</v>
      </c>
      <c r="M2" s="233"/>
      <c r="N2" s="93" t="s">
        <v>992</v>
      </c>
      <c r="P2" s="63"/>
      <c r="Q2" s="7"/>
      <c r="R2" s="7"/>
      <c r="S2" s="7"/>
      <c r="T2" s="7"/>
      <c r="U2" s="7"/>
      <c r="V2" s="7"/>
      <c r="W2" s="7"/>
      <c r="X2" s="7"/>
      <c r="Y2" s="7"/>
      <c r="Z2" s="7"/>
      <c r="AA2" s="7"/>
      <c r="AB2" s="7"/>
      <c r="AC2" s="7"/>
      <c r="AD2" s="7"/>
      <c r="AE2" s="7"/>
      <c r="AF2" s="7"/>
      <c r="AG2" s="7"/>
      <c r="AH2" s="7"/>
    </row>
    <row r="3" spans="1:34" ht="13.5" x14ac:dyDescent="0.25">
      <c r="A3" s="6" t="s">
        <v>1546</v>
      </c>
      <c r="B3" s="6" t="s">
        <v>880</v>
      </c>
      <c r="D3" s="6" t="s">
        <v>855</v>
      </c>
      <c r="F3" s="6" t="s">
        <v>1194</v>
      </c>
      <c r="H3" s="217" t="s">
        <v>1068</v>
      </c>
      <c r="I3" s="231"/>
      <c r="J3" s="5" t="s">
        <v>40</v>
      </c>
      <c r="L3" s="5" t="s">
        <v>985</v>
      </c>
      <c r="N3" s="94" t="s">
        <v>990</v>
      </c>
      <c r="O3" s="94" t="s">
        <v>991</v>
      </c>
      <c r="P3" s="95" t="s">
        <v>972</v>
      </c>
    </row>
    <row r="4" spans="1:34" ht="13.5" x14ac:dyDescent="0.25">
      <c r="A4" s="6" t="s">
        <v>1547</v>
      </c>
      <c r="B4" s="6" t="s">
        <v>879</v>
      </c>
      <c r="D4" s="6" t="s">
        <v>1528</v>
      </c>
      <c r="F4" s="6" t="s">
        <v>907</v>
      </c>
      <c r="H4" s="6" t="s">
        <v>1069</v>
      </c>
      <c r="I4" s="232"/>
      <c r="J4" s="5" t="s">
        <v>149</v>
      </c>
      <c r="L4" s="5" t="s">
        <v>607</v>
      </c>
      <c r="N4" s="5" t="s">
        <v>909</v>
      </c>
      <c r="O4" s="5" t="s">
        <v>910</v>
      </c>
      <c r="P4" s="63">
        <f>COUNTIF('(backend scoring)'!$B:$B,'Auto Responses'!$N4)</f>
        <v>9</v>
      </c>
    </row>
    <row r="5" spans="1:34" ht="13.5" x14ac:dyDescent="0.25">
      <c r="A5" s="6" t="s">
        <v>1548</v>
      </c>
      <c r="B5" s="6" t="s">
        <v>878</v>
      </c>
      <c r="D5" s="6" t="s">
        <v>1563</v>
      </c>
      <c r="F5" s="6" t="s">
        <v>1458</v>
      </c>
      <c r="H5" s="6" t="s">
        <v>1571</v>
      </c>
      <c r="I5" s="232"/>
      <c r="J5" s="5" t="s">
        <v>1585</v>
      </c>
      <c r="L5" s="5" t="s">
        <v>986</v>
      </c>
      <c r="N5" s="5" t="s">
        <v>911</v>
      </c>
      <c r="O5" s="5" t="s">
        <v>912</v>
      </c>
      <c r="P5" s="63">
        <f>COUNTIF('(backend scoring)'!$B:$B,'Auto Responses'!$N5)</f>
        <v>5</v>
      </c>
    </row>
    <row r="6" spans="1:34" ht="13.5" x14ac:dyDescent="0.25">
      <c r="A6" s="6" t="s">
        <v>1549</v>
      </c>
      <c r="B6" s="6" t="s">
        <v>877</v>
      </c>
      <c r="D6" s="6" t="s">
        <v>1579</v>
      </c>
      <c r="F6" s="6" t="s">
        <v>1461</v>
      </c>
      <c r="L6" s="5" t="s">
        <v>987</v>
      </c>
      <c r="N6" s="5" t="s">
        <v>913</v>
      </c>
      <c r="O6" s="5" t="s">
        <v>914</v>
      </c>
      <c r="P6" s="63">
        <f>COUNTIF('(backend scoring)'!$B:$B,'Auto Responses'!$N6)</f>
        <v>8</v>
      </c>
    </row>
    <row r="7" spans="1:34" ht="13.5" x14ac:dyDescent="0.25">
      <c r="A7" s="6" t="s">
        <v>1550</v>
      </c>
      <c r="B7" s="6" t="s">
        <v>876</v>
      </c>
      <c r="D7" s="6" t="s">
        <v>1462</v>
      </c>
      <c r="F7" s="6" t="s">
        <v>1195</v>
      </c>
      <c r="J7" s="5" t="s">
        <v>889</v>
      </c>
      <c r="L7" s="5" t="s">
        <v>988</v>
      </c>
      <c r="N7" s="5" t="s">
        <v>915</v>
      </c>
      <c r="O7" s="5" t="s">
        <v>916</v>
      </c>
      <c r="P7" s="63">
        <f>COUNTIF('(backend scoring)'!$B:$B,'Auto Responses'!$N7)</f>
        <v>7</v>
      </c>
    </row>
    <row r="8" spans="1:34" ht="13.5" x14ac:dyDescent="0.25">
      <c r="A8" s="6" t="s">
        <v>1551</v>
      </c>
      <c r="B8" s="6" t="s">
        <v>875</v>
      </c>
      <c r="D8" s="5" t="s">
        <v>1457</v>
      </c>
      <c r="F8" s="5" t="s">
        <v>1525</v>
      </c>
      <c r="J8" s="5" t="s">
        <v>890</v>
      </c>
      <c r="L8" s="5" t="s">
        <v>989</v>
      </c>
      <c r="N8" s="5" t="s">
        <v>917</v>
      </c>
      <c r="O8" s="5" t="s">
        <v>918</v>
      </c>
      <c r="P8" s="63">
        <f>COUNTIF('(backend scoring)'!$B:$B,'Auto Responses'!$N8)</f>
        <v>18</v>
      </c>
    </row>
    <row r="9" spans="1:34" ht="13.5" x14ac:dyDescent="0.25">
      <c r="A9" s="6" t="s">
        <v>1552</v>
      </c>
      <c r="B9" s="6" t="s">
        <v>874</v>
      </c>
      <c r="D9" s="5" t="s">
        <v>1526</v>
      </c>
      <c r="L9" s="5" t="s">
        <v>660</v>
      </c>
      <c r="N9" s="5" t="s">
        <v>919</v>
      </c>
      <c r="O9" s="5" t="s">
        <v>920</v>
      </c>
      <c r="P9" s="63">
        <f>COUNTIF('(backend scoring)'!$B:$B,'Auto Responses'!$N9)</f>
        <v>5</v>
      </c>
    </row>
    <row r="10" spans="1:34" ht="13.5" x14ac:dyDescent="0.25">
      <c r="A10" s="6" t="s">
        <v>1553</v>
      </c>
      <c r="B10" s="6" t="s">
        <v>873</v>
      </c>
      <c r="N10" s="5" t="s">
        <v>921</v>
      </c>
      <c r="O10" s="5" t="s">
        <v>922</v>
      </c>
      <c r="P10" s="63">
        <f>COUNTIF('(backend scoring)'!$B:$B,'Auto Responses'!$N10)</f>
        <v>9</v>
      </c>
    </row>
    <row r="11" spans="1:34" ht="13.5" x14ac:dyDescent="0.25">
      <c r="A11" s="6" t="s">
        <v>1554</v>
      </c>
      <c r="B11" s="6" t="s">
        <v>872</v>
      </c>
      <c r="J11" s="5" t="s">
        <v>46</v>
      </c>
      <c r="N11" s="5" t="s">
        <v>923</v>
      </c>
      <c r="O11" s="5" t="s">
        <v>924</v>
      </c>
      <c r="P11" s="63">
        <f>COUNTIF('(backend scoring)'!$B:$B,'Auto Responses'!$N11)</f>
        <v>14</v>
      </c>
    </row>
    <row r="12" spans="1:34" ht="13.5" x14ac:dyDescent="0.25">
      <c r="A12" s="6" t="s">
        <v>1183</v>
      </c>
      <c r="B12" s="6" t="s">
        <v>871</v>
      </c>
      <c r="F12" s="6"/>
      <c r="J12" s="5" t="s">
        <v>75</v>
      </c>
      <c r="N12" s="5" t="s">
        <v>925</v>
      </c>
      <c r="O12" s="5" t="s">
        <v>1494</v>
      </c>
      <c r="P12" s="63">
        <f>COUNTIF('(backend scoring)'!$B:$B,'Auto Responses'!$N12)</f>
        <v>18</v>
      </c>
    </row>
    <row r="13" spans="1:34" ht="13.5" x14ac:dyDescent="0.25">
      <c r="A13" s="6" t="s">
        <v>1184</v>
      </c>
      <c r="B13" s="6" t="s">
        <v>870</v>
      </c>
      <c r="F13" s="6"/>
      <c r="J13" s="5" t="s">
        <v>41</v>
      </c>
      <c r="N13" s="5" t="s">
        <v>926</v>
      </c>
      <c r="O13" s="5" t="s">
        <v>927</v>
      </c>
      <c r="P13" s="63">
        <f>COUNTIF('(backend scoring)'!$B:$B,'Auto Responses'!$N13)</f>
        <v>16</v>
      </c>
    </row>
    <row r="14" spans="1:34" ht="13.5" x14ac:dyDescent="0.25">
      <c r="A14" s="6" t="s">
        <v>53</v>
      </c>
      <c r="B14" s="6" t="s">
        <v>869</v>
      </c>
      <c r="J14" s="5" t="s">
        <v>903</v>
      </c>
      <c r="N14" s="5" t="s">
        <v>928</v>
      </c>
      <c r="O14" s="5" t="s">
        <v>929</v>
      </c>
      <c r="P14" s="63">
        <f>COUNTIF('(backend scoring)'!$B:$B,'Auto Responses'!$N14)</f>
        <v>23</v>
      </c>
    </row>
    <row r="15" spans="1:34" ht="13.5" x14ac:dyDescent="0.25">
      <c r="A15" s="6" t="s">
        <v>52</v>
      </c>
      <c r="B15" s="6" t="s">
        <v>868</v>
      </c>
      <c r="N15" s="5" t="s">
        <v>930</v>
      </c>
      <c r="O15" s="5" t="s">
        <v>931</v>
      </c>
      <c r="P15" s="63">
        <f>COUNTIF('(backend scoring)'!$B:$B,'Auto Responses'!$N15)</f>
        <v>16</v>
      </c>
    </row>
    <row r="16" spans="1:34" ht="13.5" x14ac:dyDescent="0.25">
      <c r="A16" s="6" t="s">
        <v>1185</v>
      </c>
      <c r="B16" s="6" t="s">
        <v>867</v>
      </c>
      <c r="N16" s="5" t="s">
        <v>932</v>
      </c>
      <c r="O16" s="5" t="s">
        <v>1576</v>
      </c>
      <c r="P16" s="63">
        <f>COUNTIF('(backend scoring)'!$B:$B,'Auto Responses'!$N16)</f>
        <v>11</v>
      </c>
    </row>
    <row r="17" spans="1:20" ht="13.5" x14ac:dyDescent="0.25">
      <c r="A17" s="6" t="s">
        <v>1186</v>
      </c>
      <c r="B17" s="6" t="s">
        <v>866</v>
      </c>
      <c r="J17" s="5" t="s">
        <v>1197</v>
      </c>
      <c r="N17" s="5" t="s">
        <v>933</v>
      </c>
      <c r="O17" s="5" t="s">
        <v>934</v>
      </c>
      <c r="P17" s="63">
        <f>COUNTIF('(backend scoring)'!$B:$B,'Auto Responses'!$N17)</f>
        <v>15</v>
      </c>
    </row>
    <row r="18" spans="1:20" ht="13.5" x14ac:dyDescent="0.25">
      <c r="A18" s="6" t="s">
        <v>1187</v>
      </c>
      <c r="B18" s="6" t="s">
        <v>865</v>
      </c>
      <c r="J18" s="5" t="s">
        <v>1198</v>
      </c>
      <c r="N18" s="5" t="s">
        <v>935</v>
      </c>
      <c r="O18" s="5" t="s">
        <v>936</v>
      </c>
      <c r="P18" s="63">
        <f>COUNTIF('(backend scoring)'!$B:$B,'Auto Responses'!$N18)</f>
        <v>4</v>
      </c>
    </row>
    <row r="19" spans="1:20" ht="13.5" x14ac:dyDescent="0.25">
      <c r="A19" s="6" t="s">
        <v>1188</v>
      </c>
      <c r="B19" s="6" t="s">
        <v>864</v>
      </c>
      <c r="J19" s="5" t="s">
        <v>1199</v>
      </c>
      <c r="N19" s="5" t="s">
        <v>937</v>
      </c>
      <c r="O19" s="5" t="s">
        <v>938</v>
      </c>
      <c r="P19" s="63">
        <f>COUNTIF('(backend scoring)'!$B:$B,'Auto Responses'!$N19)</f>
        <v>6</v>
      </c>
    </row>
    <row r="20" spans="1:20" ht="13.5" x14ac:dyDescent="0.25">
      <c r="A20" s="6" t="s">
        <v>1189</v>
      </c>
      <c r="B20" s="6" t="s">
        <v>863</v>
      </c>
      <c r="J20" s="5" t="s">
        <v>897</v>
      </c>
      <c r="N20" s="5" t="s">
        <v>939</v>
      </c>
      <c r="O20" s="5" t="s">
        <v>1495</v>
      </c>
      <c r="P20" s="63">
        <f>COUNTIF('(backend scoring)'!$B:$B,'Auto Responses'!$N20)</f>
        <v>29</v>
      </c>
    </row>
    <row r="21" spans="1:20" ht="13.5" x14ac:dyDescent="0.25">
      <c r="A21" s="6" t="s">
        <v>1190</v>
      </c>
      <c r="B21" s="6" t="s">
        <v>862</v>
      </c>
      <c r="J21" s="5" t="s">
        <v>898</v>
      </c>
      <c r="N21" s="5" t="s">
        <v>940</v>
      </c>
      <c r="O21" s="5" t="s">
        <v>976</v>
      </c>
      <c r="P21" s="63">
        <f>COUNTIF('(backend scoring)'!$B:$B,'Auto Responses'!$N21)</f>
        <v>12</v>
      </c>
    </row>
    <row r="22" spans="1:20" ht="13.5" x14ac:dyDescent="0.25">
      <c r="A22" s="6" t="s">
        <v>1191</v>
      </c>
      <c r="B22" s="6" t="s">
        <v>861</v>
      </c>
      <c r="J22" s="5" t="s">
        <v>899</v>
      </c>
      <c r="N22" s="5" t="s">
        <v>941</v>
      </c>
      <c r="O22" s="5" t="s">
        <v>1192</v>
      </c>
      <c r="P22" s="63">
        <f>COUNTIF('(backend scoring)'!$B:$B,'Auto Responses'!$N22)</f>
        <v>10</v>
      </c>
    </row>
    <row r="23" spans="1:20" ht="13.5" x14ac:dyDescent="0.25">
      <c r="A23" s="6" t="s">
        <v>1193</v>
      </c>
      <c r="B23" s="6" t="s">
        <v>860</v>
      </c>
      <c r="J23" s="5" t="s">
        <v>1564</v>
      </c>
      <c r="N23" s="5" t="s">
        <v>942</v>
      </c>
      <c r="O23" s="5" t="s">
        <v>943</v>
      </c>
      <c r="P23" s="63">
        <f>COUNTIF('(backend scoring)'!$B:$B,'Auto Responses'!$N23)</f>
        <v>5</v>
      </c>
    </row>
    <row r="24" spans="1:20" ht="13.5" x14ac:dyDescent="0.25">
      <c r="A24" s="6" t="s">
        <v>1459</v>
      </c>
      <c r="B24" s="6" t="s">
        <v>859</v>
      </c>
      <c r="N24" s="5" t="s">
        <v>944</v>
      </c>
      <c r="O24" s="5" t="s">
        <v>945</v>
      </c>
      <c r="P24" s="63">
        <f>COUNTIF('(backend scoring)'!$B:$B,'Auto Responses'!$N24)</f>
        <v>4</v>
      </c>
    </row>
    <row r="25" spans="1:20" ht="13.5" x14ac:dyDescent="0.25">
      <c r="A25" s="6" t="s">
        <v>1460</v>
      </c>
      <c r="B25" s="6" t="s">
        <v>858</v>
      </c>
      <c r="N25" s="5" t="s">
        <v>946</v>
      </c>
      <c r="O25" s="5" t="s">
        <v>973</v>
      </c>
      <c r="P25" s="63">
        <f>COUNTIF('(backend scoring)'!$B:$B,'Auto Responses'!$N25)</f>
        <v>3</v>
      </c>
    </row>
    <row r="26" spans="1:20" ht="13.5" x14ac:dyDescent="0.25">
      <c r="A26" s="6" t="s">
        <v>857</v>
      </c>
      <c r="B26" s="6" t="s">
        <v>856</v>
      </c>
      <c r="N26" s="5" t="s">
        <v>947</v>
      </c>
      <c r="O26" s="5" t="s">
        <v>948</v>
      </c>
      <c r="P26" s="63">
        <f>COUNTIF('(backend scoring)'!$B:$B,'Auto Responses'!$N26)</f>
        <v>2</v>
      </c>
    </row>
    <row r="27" spans="1:20" ht="15.75" customHeight="1" x14ac:dyDescent="0.25">
      <c r="A27" s="5" t="s">
        <v>1456</v>
      </c>
      <c r="J27" s="5" t="s">
        <v>37</v>
      </c>
      <c r="N27" s="5" t="s">
        <v>949</v>
      </c>
      <c r="O27" s="5" t="s">
        <v>950</v>
      </c>
      <c r="P27" s="63">
        <f>COUNTIF('(backend scoring)'!$B:$B,'Auto Responses'!$N27)</f>
        <v>2</v>
      </c>
    </row>
    <row r="28" spans="1:20" ht="15.75" customHeight="1" x14ac:dyDescent="0.25">
      <c r="A28" s="6" t="s">
        <v>1498</v>
      </c>
      <c r="J28" s="5" t="s">
        <v>22</v>
      </c>
      <c r="N28" s="5" t="s">
        <v>951</v>
      </c>
      <c r="O28" s="5" t="s">
        <v>952</v>
      </c>
      <c r="P28" s="63">
        <f>COUNTIF('(backend scoring)'!$B:$B,'Auto Responses'!$N28)</f>
        <v>8</v>
      </c>
    </row>
    <row r="29" spans="1:20" ht="15.75" customHeight="1" x14ac:dyDescent="0.25">
      <c r="A29" s="6"/>
      <c r="N29" s="5" t="s">
        <v>953</v>
      </c>
      <c r="O29" s="5" t="s">
        <v>954</v>
      </c>
      <c r="P29" s="63">
        <f>COUNTIF('(backend scoring)'!$B:$B,'Auto Responses'!$N29)</f>
        <v>13</v>
      </c>
    </row>
    <row r="30" spans="1:20" ht="15.75" customHeight="1" x14ac:dyDescent="0.25">
      <c r="A30" s="6"/>
      <c r="N30" s="5" t="s">
        <v>955</v>
      </c>
      <c r="O30" s="5" t="s">
        <v>956</v>
      </c>
      <c r="P30" s="63">
        <f>COUNTIF('(backend scoring)'!$B:$B,'Auto Responses'!$N30)</f>
        <v>5</v>
      </c>
    </row>
    <row r="31" spans="1:20" ht="15.75" customHeight="1" x14ac:dyDescent="0.25">
      <c r="A31" s="6"/>
      <c r="N31" s="5" t="s">
        <v>1090</v>
      </c>
      <c r="O31" s="5" t="s">
        <v>957</v>
      </c>
      <c r="P31" s="63">
        <f>COUNTIF('(backend scoring)'!$B:$B,'Auto Responses'!$N31)</f>
        <v>15</v>
      </c>
      <c r="T31" s="6"/>
    </row>
    <row r="32" spans="1:20" ht="15.75" customHeight="1" x14ac:dyDescent="0.25">
      <c r="A32" s="6" t="str">
        <f>LEFT($A$3,21)</f>
        <v>Based on the response</v>
      </c>
      <c r="N32" s="5" t="s">
        <v>958</v>
      </c>
      <c r="O32" s="5" t="s">
        <v>959</v>
      </c>
      <c r="P32" s="63">
        <f>COUNTIF('(backend scoring)'!$B:$B,'Auto Responses'!$N32)</f>
        <v>8</v>
      </c>
    </row>
    <row r="33" spans="1:16" ht="15.75" customHeight="1" x14ac:dyDescent="0.25">
      <c r="A33" s="5" t="s">
        <v>1603</v>
      </c>
      <c r="N33" s="5" t="s">
        <v>960</v>
      </c>
      <c r="O33" s="5" t="s">
        <v>961</v>
      </c>
      <c r="P33" s="63">
        <f>COUNTIF('(backend scoring)'!$B:$B,'Auto Responses'!$N33)</f>
        <v>2</v>
      </c>
    </row>
    <row r="34" spans="1:16" ht="15.75" customHeight="1" x14ac:dyDescent="0.25">
      <c r="A34" s="6"/>
      <c r="N34" s="5" t="s">
        <v>962</v>
      </c>
      <c r="O34" s="5" t="s">
        <v>963</v>
      </c>
      <c r="P34" s="63">
        <f>COUNTIF('(backend scoring)'!$B:$B,'Auto Responses'!$N34)</f>
        <v>5</v>
      </c>
    </row>
    <row r="35" spans="1:16" ht="15.75" customHeight="1" x14ac:dyDescent="0.25">
      <c r="A35" s="6"/>
      <c r="N35" s="5" t="s">
        <v>964</v>
      </c>
      <c r="O35" s="5" t="s">
        <v>965</v>
      </c>
      <c r="P35" s="63">
        <f>COUNTIF('(backend scoring)'!$B:$B,'Auto Responses'!$N35)</f>
        <v>5</v>
      </c>
    </row>
    <row r="36" spans="1:16" ht="15.75" customHeight="1" x14ac:dyDescent="0.25">
      <c r="A36" s="6" t="s">
        <v>1768</v>
      </c>
      <c r="N36" s="5" t="s">
        <v>966</v>
      </c>
      <c r="O36" s="5" t="s">
        <v>967</v>
      </c>
      <c r="P36" s="63">
        <f>COUNTIF('(backend scoring)'!$B:$B,'Auto Responses'!$N36)</f>
        <v>5</v>
      </c>
    </row>
    <row r="37" spans="1:16" ht="15.75" customHeight="1" x14ac:dyDescent="0.25">
      <c r="A37" s="6"/>
      <c r="N37" s="5" t="s">
        <v>968</v>
      </c>
      <c r="O37" s="5" t="s">
        <v>969</v>
      </c>
      <c r="P37" s="63">
        <f>COUNTIF('(backend scoring)'!$B:$B,'Auto Responses'!$N37)</f>
        <v>8</v>
      </c>
    </row>
    <row r="38" spans="1:16" ht="15.75" customHeight="1" x14ac:dyDescent="0.25">
      <c r="A38" s="6"/>
      <c r="N38" s="5" t="s">
        <v>970</v>
      </c>
      <c r="O38" s="5" t="s">
        <v>971</v>
      </c>
      <c r="P38" s="63">
        <f>COUNTIF('(backend scoring)'!$B:$B,'Auto Responses'!$N38)</f>
        <v>6</v>
      </c>
    </row>
    <row r="39" spans="1:16" ht="15.75" customHeight="1" x14ac:dyDescent="0.25">
      <c r="A39" s="243" t="s">
        <v>1506</v>
      </c>
    </row>
    <row r="40" spans="1:16" ht="15.75" hidden="1" customHeight="1" x14ac:dyDescent="0.25">
      <c r="A40" s="6"/>
    </row>
    <row r="41" spans="1:16" ht="15.75" hidden="1" customHeight="1" x14ac:dyDescent="0.25">
      <c r="A41" s="6"/>
    </row>
    <row r="42" spans="1:16" ht="15.75" hidden="1" customHeight="1" x14ac:dyDescent="0.25">
      <c r="A42" s="217"/>
    </row>
    <row r="43" spans="1:16" ht="15.75" hidden="1" customHeight="1" x14ac:dyDescent="0.25">
      <c r="A43" s="6"/>
    </row>
    <row r="44" spans="1:16" ht="15.75" hidden="1" customHeight="1" x14ac:dyDescent="0.25">
      <c r="A44" s="6"/>
    </row>
    <row r="45" spans="1:16" ht="15.75" hidden="1" customHeight="1" x14ac:dyDescent="0.25">
      <c r="A45" s="6"/>
    </row>
    <row r="51" spans="4:4" ht="15.75" hidden="1" customHeight="1" x14ac:dyDescent="0.25">
      <c r="D51" s="218"/>
    </row>
    <row r="52" spans="4:4" ht="15.75" hidden="1" customHeight="1" x14ac:dyDescent="0.25">
      <c r="D52" s="218"/>
    </row>
    <row r="53" spans="4:4" ht="15.75" hidden="1" customHeight="1" x14ac:dyDescent="0.25">
      <c r="D53" s="218"/>
    </row>
    <row r="54" spans="4:4" ht="15.75" hidden="1" customHeight="1" x14ac:dyDescent="0.25">
      <c r="D54" s="218"/>
    </row>
    <row r="55" spans="4:4" ht="15.75" hidden="1" customHeight="1" x14ac:dyDescent="0.25">
      <c r="D55" s="218"/>
    </row>
    <row r="56" spans="4:4" ht="15.75" hidden="1" customHeight="1" x14ac:dyDescent="0.25">
      <c r="D56" s="218"/>
    </row>
    <row r="57" spans="4:4" ht="15.75" hidden="1" customHeight="1" x14ac:dyDescent="0.25">
      <c r="D57" s="218"/>
    </row>
    <row r="58" spans="4:4" ht="15.75" hidden="1" customHeight="1" x14ac:dyDescent="0.25">
      <c r="D58" s="218"/>
    </row>
    <row r="59" spans="4:4" ht="15.75" hidden="1" customHeight="1" x14ac:dyDescent="0.25">
      <c r="D59" s="218"/>
    </row>
    <row r="60" spans="4:4" ht="15.75" hidden="1" customHeight="1" x14ac:dyDescent="0.25">
      <c r="D60" s="218"/>
    </row>
    <row r="61" spans="4:4" ht="15.75" hidden="1" customHeight="1" x14ac:dyDescent="0.25">
      <c r="D61" s="218"/>
    </row>
    <row r="62" spans="4:4" ht="15.75" hidden="1" customHeight="1" x14ac:dyDescent="0.25">
      <c r="D62" s="218"/>
    </row>
    <row r="63" spans="4:4" ht="15.75" hidden="1" customHeight="1" x14ac:dyDescent="0.25">
      <c r="D63" s="218"/>
    </row>
    <row r="64" spans="4:4" ht="15.75" hidden="1" customHeight="1" x14ac:dyDescent="0.25">
      <c r="D64" s="218"/>
    </row>
    <row r="65" spans="4:4" ht="15.75" hidden="1" customHeight="1" x14ac:dyDescent="0.25">
      <c r="D65" s="218"/>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defaultColWidth="0" defaultRowHeight="15" zeroHeight="1" x14ac:dyDescent="0.2"/>
  <cols>
    <col min="1" max="1" width="8.796875" style="2" customWidth="1"/>
    <col min="2" max="2" width="0" style="2" hidden="1" customWidth="1"/>
    <col min="3" max="3" width="35.69921875" style="2" customWidth="1"/>
    <col min="4" max="4" width="15.3984375" style="2" customWidth="1"/>
    <col min="5" max="6" width="12.69921875" style="2" customWidth="1"/>
    <col min="7" max="8" width="8.796875" style="2" customWidth="1"/>
    <col min="9" max="10" width="10.8984375" style="2" customWidth="1"/>
    <col min="11" max="11" width="11.19921875" style="2" customWidth="1"/>
    <col min="12" max="12" width="12" style="108" customWidth="1"/>
    <col min="13" max="14" width="13" style="102" customWidth="1"/>
    <col min="15" max="16" width="8.796875" style="102" customWidth="1"/>
    <col min="17" max="22" width="8.796875" style="108" customWidth="1"/>
    <col min="23" max="23" width="8.796875" style="102" customWidth="1"/>
    <col min="24" max="16384" width="8.796875" style="102" hidden="1"/>
  </cols>
  <sheetData>
    <row r="1" spans="1:22" hidden="1" x14ac:dyDescent="0.2">
      <c r="A1" s="245" t="s">
        <v>1512</v>
      </c>
    </row>
    <row r="2" spans="1:22" ht="90" x14ac:dyDescent="0.2">
      <c r="A2" s="103" t="s">
        <v>0</v>
      </c>
      <c r="B2" s="109" t="s">
        <v>998</v>
      </c>
      <c r="C2" s="103" t="s">
        <v>1</v>
      </c>
      <c r="D2" s="103" t="s">
        <v>10</v>
      </c>
      <c r="E2" s="104" t="s">
        <v>11</v>
      </c>
      <c r="F2" s="105" t="s">
        <v>882</v>
      </c>
      <c r="G2" s="106" t="s">
        <v>904</v>
      </c>
      <c r="H2" s="106" t="s">
        <v>906</v>
      </c>
      <c r="I2" s="107" t="s">
        <v>19</v>
      </c>
      <c r="J2" s="106" t="s">
        <v>891</v>
      </c>
      <c r="K2" s="106" t="s">
        <v>996</v>
      </c>
      <c r="L2" s="106" t="s">
        <v>995</v>
      </c>
      <c r="M2" s="106" t="s">
        <v>997</v>
      </c>
      <c r="N2" s="106" t="s">
        <v>1001</v>
      </c>
      <c r="O2" s="106" t="s">
        <v>993</v>
      </c>
      <c r="P2" s="106" t="s">
        <v>994</v>
      </c>
      <c r="Q2" s="160" t="s">
        <v>1013</v>
      </c>
      <c r="R2" s="160" t="s">
        <v>1014</v>
      </c>
      <c r="S2" s="160" t="s">
        <v>1015</v>
      </c>
      <c r="T2" s="160" t="s">
        <v>1016</v>
      </c>
      <c r="U2" s="160" t="s">
        <v>1017</v>
      </c>
      <c r="V2" s="160" t="s">
        <v>1018</v>
      </c>
    </row>
    <row r="3" spans="1:22" ht="57" x14ac:dyDescent="0.2">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Evaluation'!$A$56:$K$346,3,0)&amp;""</f>
        <v>Indiana University</v>
      </c>
      <c r="G3" s="4" t="str">
        <f>VLOOKUP($A3,'Institution Evaluation'!$A$56:$K$346,7,0)&amp;""</f>
        <v>Not scored</v>
      </c>
      <c r="H3" s="4" t="str">
        <f>VLOOKUP($A3,'Institution Evaluation'!$A$56:$K$346,8,0)&amp;""</f>
        <v/>
      </c>
      <c r="I3" s="4" t="str">
        <f>VLOOKUP($A3,'Institution Evaluation'!$A$56:$K$346,9,0)&amp;""</f>
        <v/>
      </c>
      <c r="J3" s="4" t="str">
        <f>VLOOKUP($A3,'Institution Evaluation'!$A$56:$K$346,10,0)&amp;""</f>
        <v/>
      </c>
      <c r="K3" s="4">
        <f>IF($I3="Critical Importance",20,IF($I3="Minor Importance",5,10))</f>
        <v>10</v>
      </c>
      <c r="L3" s="108" t="str">
        <f>IF($E3="Not Scored", "N/A",IF(AND($D3='Auto Responses'!$J$27,$H3=""),"N/A",IF(AND($D3='Auto Responses'!$J$27,$H3='Auto Responses'!$J$7),1,IF(AND($D3='Auto Responses'!$J$27,$H3='Auto Responses'!$J$8),0,IF(OR($F3=$G3,$H3='Auto Responses'!$J$7),1,0)))))</f>
        <v>N/A</v>
      </c>
      <c r="M3" s="4" t="str">
        <f>VLOOKUP($A3,'Institution Evaluation'!$A$56:$K$346,10,0)&amp;""</f>
        <v/>
      </c>
      <c r="N3" s="4">
        <f>IF($J3="Critical Importance",1,IF(AND($J3="",$I3="Critical Importance"),1,0))</f>
        <v>0</v>
      </c>
      <c r="O3" s="108" t="str">
        <f>IF($E3="Not Scored","N/A",IF($J3="",$K3,IF($J3="Minor Importance",5,IF($J3="Standard Importance",10,IF($J3="Critical Importance",20,0)))))</f>
        <v>N/A</v>
      </c>
      <c r="P3" s="108" t="str">
        <f>IF(OR($O3="N/A",$L3="N/A"),"N/A",$O3*$L3)</f>
        <v>N/A</v>
      </c>
      <c r="Q3" s="108">
        <f>IF(M3="TRUE",1,0)</f>
        <v>0</v>
      </c>
      <c r="R3" s="108">
        <f>Q3</f>
        <v>0</v>
      </c>
      <c r="S3" s="108">
        <f>IF(Q3=0,0,R3)</f>
        <v>0</v>
      </c>
      <c r="T3" s="108">
        <f>IF(N3=1,1,0)</f>
        <v>0</v>
      </c>
      <c r="U3" s="108">
        <f>T3</f>
        <v>0</v>
      </c>
      <c r="V3" s="108">
        <f>IF(T3=0,0,U3)</f>
        <v>0</v>
      </c>
    </row>
    <row r="4" spans="1:22" ht="57" x14ac:dyDescent="0.2">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Evaluation'!$A$56:$K$346,3,0)&amp;""</f>
        <v>NSSE Shorts</v>
      </c>
      <c r="G4" s="4" t="str">
        <f>VLOOKUP($A4,'Institution Evaluation'!$A$56:$K$346,7,0)&amp;""</f>
        <v>Not scored</v>
      </c>
      <c r="H4" s="4" t="str">
        <f>VLOOKUP($A4,'Institution Evaluation'!$A$56:$K$346,8,0)&amp;""</f>
        <v/>
      </c>
      <c r="I4" s="4" t="str">
        <f>VLOOKUP($A4,'Institution Evaluation'!$A$56:$K$346,9,0)&amp;""</f>
        <v/>
      </c>
      <c r="J4" s="4" t="str">
        <f>VLOOKUP($A4,'Institution Evaluation'!$A$56:$K$346,10,0)&amp;""</f>
        <v/>
      </c>
      <c r="K4" s="4">
        <f t="shared" ref="K4:K67" si="1">IF($I4="Critical Importance",20,IF($I4="Minor Importance",5,10))</f>
        <v>10</v>
      </c>
      <c r="L4" s="108" t="str">
        <f>IF($E4="Not Scored", "N/A",IF(AND($D4='Auto Responses'!$J$27,$H4=""),"N/A",IF(AND($D4='Auto Responses'!$J$27,$H4='Auto Responses'!$J$7),1,IF(AND($D4='Auto Responses'!$J$27,$H4='Auto Responses'!$J$8),0,IF(OR($F4=$G4,$H4='Auto Responses'!$J$7),1,0)))))</f>
        <v>N/A</v>
      </c>
      <c r="M4" s="4" t="str">
        <f>VLOOKUP($A4,'Institution Evaluation'!$A$56:$K$346,10,0)&amp;""</f>
        <v/>
      </c>
      <c r="N4" s="4">
        <f t="shared" ref="N4:N67" si="2">IF($J4="Critical Importance",1,IF(AND($J4="",$I4="Critical Importance"),1,0))</f>
        <v>0</v>
      </c>
      <c r="O4" s="108" t="str">
        <f t="shared" ref="O4:O54" si="3">IF($E4="Not Scored","N/A",IF($J4="",$K4,IF($J4="Minor Importance",5,IF($J4="Standard Importance",10,IF($J4="Critical Importance",20,0)))))</f>
        <v>N/A</v>
      </c>
      <c r="P4" s="108" t="str">
        <f t="shared" ref="P4:P67" si="4">IF(OR($O4="N/A",$L4="N/A"),"N/A",$O4*$L4)</f>
        <v>N/A</v>
      </c>
      <c r="Q4" s="108">
        <f t="shared" ref="Q4:Q66" si="5">IF(M4="TRUE",1,0)</f>
        <v>0</v>
      </c>
      <c r="R4" s="108">
        <f>R3+Q4</f>
        <v>0</v>
      </c>
      <c r="S4" s="108">
        <f t="shared" ref="S4:S66" si="6">IF(Q4=0,0,R4)</f>
        <v>0</v>
      </c>
      <c r="T4" s="108">
        <f t="shared" ref="T4:T66" si="7">IF(N4=1,1,0)</f>
        <v>0</v>
      </c>
      <c r="U4" s="108">
        <f>U3+T4</f>
        <v>0</v>
      </c>
      <c r="V4" s="108">
        <f t="shared" ref="V4:V66" si="8">IF(T4=0,0,U4)</f>
        <v>0</v>
      </c>
    </row>
    <row r="5" spans="1:22" ht="71.25" x14ac:dyDescent="0.2">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Evaluation'!$A$56:$K$346,3,0)&amp;""</f>
        <v>We survey undergraduate students about their college experiences</v>
      </c>
      <c r="G5" s="4" t="str">
        <f>VLOOKUP($A5,'Institution Evaluation'!$A$56:$K$346,7,0)&amp;""</f>
        <v>Not scored</v>
      </c>
      <c r="H5" s="4" t="str">
        <f>VLOOKUP($A5,'Institution Evaluation'!$A$56:$K$346,8,0)&amp;""</f>
        <v/>
      </c>
      <c r="I5" s="4" t="str">
        <f>VLOOKUP($A5,'Institution Evaluation'!$A$56:$K$346,9,0)&amp;""</f>
        <v/>
      </c>
      <c r="J5" s="4" t="str">
        <f>VLOOKUP($A5,'Institution Evaluation'!$A$56:$K$346,10,0)&amp;""</f>
        <v/>
      </c>
      <c r="K5" s="4">
        <f t="shared" si="1"/>
        <v>10</v>
      </c>
      <c r="L5" s="108" t="str">
        <f>IF($E5="Not Scored", "N/A",IF(AND($D5='Auto Responses'!$J$27,$H5=""),"N/A",IF(AND($D5='Auto Responses'!$J$27,$H5='Auto Responses'!$J$7),1,IF(AND($D5='Auto Responses'!$J$27,$H5='Auto Responses'!$J$8),0,IF(OR($F5=$G5,$H5='Auto Responses'!$J$7),1,0)))))</f>
        <v>N/A</v>
      </c>
      <c r="M5" s="4" t="str">
        <f>VLOOKUP($A5,'Institution Evaluation'!$A$56:$K$346,10,0)&amp;""</f>
        <v/>
      </c>
      <c r="N5" s="4">
        <f t="shared" si="2"/>
        <v>0</v>
      </c>
      <c r="O5" s="108" t="str">
        <f t="shared" si="3"/>
        <v>N/A</v>
      </c>
      <c r="P5" s="108" t="str">
        <f t="shared" si="4"/>
        <v>N/A</v>
      </c>
      <c r="Q5" s="108">
        <f t="shared" si="5"/>
        <v>0</v>
      </c>
      <c r="R5" s="108">
        <f t="shared" ref="R5:R68" si="9">R4+Q5</f>
        <v>0</v>
      </c>
      <c r="S5" s="108">
        <f t="shared" si="6"/>
        <v>0</v>
      </c>
      <c r="T5" s="108">
        <f t="shared" si="7"/>
        <v>0</v>
      </c>
      <c r="U5" s="108">
        <f t="shared" ref="U5:U68" si="10">U4+T5</f>
        <v>0</v>
      </c>
      <c r="V5" s="108">
        <f t="shared" si="8"/>
        <v>0</v>
      </c>
    </row>
    <row r="6" spans="1:22" ht="57" x14ac:dyDescent="0.2">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Evaluation'!$A$56:$K$346,3,0)&amp;""</f>
        <v>James Cole</v>
      </c>
      <c r="G6" s="4" t="str">
        <f>VLOOKUP($A6,'Institution Evaluation'!$A$56:$K$346,7,0)&amp;""</f>
        <v>Not scored</v>
      </c>
      <c r="H6" s="4" t="str">
        <f>VLOOKUP($A6,'Institution Evaluation'!$A$56:$K$346,8,0)&amp;""</f>
        <v/>
      </c>
      <c r="I6" s="4" t="str">
        <f>VLOOKUP($A6,'Institution Evaluation'!$A$56:$K$346,9,0)&amp;""</f>
        <v/>
      </c>
      <c r="J6" s="4" t="str">
        <f>VLOOKUP($A6,'Institution Evaluation'!$A$56:$K$346,10,0)&amp;""</f>
        <v/>
      </c>
      <c r="K6" s="4">
        <f t="shared" si="1"/>
        <v>10</v>
      </c>
      <c r="L6" s="108" t="str">
        <f>IF($E6="Not Scored", "N/A",IF(AND($D6='Auto Responses'!$J$27,$H6=""),"N/A",IF(AND($D6='Auto Responses'!$J$27,$H6='Auto Responses'!$J$7),1,IF(AND($D6='Auto Responses'!$J$27,$H6='Auto Responses'!$J$8),0,IF(OR($F6=$G6,$H6='Auto Responses'!$J$7),1,0)))))</f>
        <v>N/A</v>
      </c>
      <c r="M6" s="4" t="str">
        <f>VLOOKUP($A6,'Institution Evaluation'!$A$56:$K$346,10,0)&amp;""</f>
        <v/>
      </c>
      <c r="N6" s="4">
        <f t="shared" si="2"/>
        <v>0</v>
      </c>
      <c r="O6" s="108" t="str">
        <f t="shared" si="3"/>
        <v>N/A</v>
      </c>
      <c r="P6" s="108" t="str">
        <f t="shared" si="4"/>
        <v>N/A</v>
      </c>
      <c r="Q6" s="108">
        <f t="shared" si="5"/>
        <v>0</v>
      </c>
      <c r="R6" s="108">
        <f t="shared" si="9"/>
        <v>0</v>
      </c>
      <c r="S6" s="108">
        <f t="shared" si="6"/>
        <v>0</v>
      </c>
      <c r="T6" s="108">
        <f t="shared" si="7"/>
        <v>0</v>
      </c>
      <c r="U6" s="108">
        <f t="shared" si="10"/>
        <v>0</v>
      </c>
      <c r="V6" s="108">
        <f t="shared" si="8"/>
        <v>0</v>
      </c>
    </row>
    <row r="7" spans="1:22" ht="57" x14ac:dyDescent="0.2">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Evaluation'!$A$56:$K$346,3,0)&amp;""</f>
        <v>NSSE Shorts Coordinator</v>
      </c>
      <c r="G7" s="4" t="str">
        <f>VLOOKUP($A7,'Institution Evaluation'!$A$56:$K$346,7,0)&amp;""</f>
        <v>Not scored</v>
      </c>
      <c r="H7" s="4" t="str">
        <f>VLOOKUP($A7,'Institution Evaluation'!$A$56:$K$346,8,0)&amp;""</f>
        <v/>
      </c>
      <c r="I7" s="4" t="str">
        <f>VLOOKUP($A7,'Institution Evaluation'!$A$56:$K$346,9,0)&amp;""</f>
        <v/>
      </c>
      <c r="J7" s="4" t="str">
        <f>VLOOKUP($A7,'Institution Evaluation'!$A$56:$K$346,10,0)&amp;""</f>
        <v/>
      </c>
      <c r="K7" s="4">
        <f t="shared" si="1"/>
        <v>10</v>
      </c>
      <c r="L7" s="108" t="str">
        <f>IF($E7="Not Scored", "N/A",IF(AND($D7='Auto Responses'!$J$27,$H7=""),"N/A",IF(AND($D7='Auto Responses'!$J$27,$H7='Auto Responses'!$J$7),1,IF(AND($D7='Auto Responses'!$J$27,$H7='Auto Responses'!$J$8),0,IF(OR($F7=$G7,$H7='Auto Responses'!$J$7),1,0)))))</f>
        <v>N/A</v>
      </c>
      <c r="M7" s="4" t="str">
        <f>VLOOKUP($A7,'Institution Evaluation'!$A$56:$K$346,10,0)&amp;""</f>
        <v/>
      </c>
      <c r="N7" s="4">
        <f t="shared" si="2"/>
        <v>0</v>
      </c>
      <c r="O7" s="108" t="str">
        <f t="shared" si="3"/>
        <v>N/A</v>
      </c>
      <c r="P7" s="108" t="str">
        <f t="shared" si="4"/>
        <v>N/A</v>
      </c>
      <c r="Q7" s="108">
        <f t="shared" si="5"/>
        <v>0</v>
      </c>
      <c r="R7" s="108">
        <f t="shared" si="9"/>
        <v>0</v>
      </c>
      <c r="S7" s="108">
        <f t="shared" si="6"/>
        <v>0</v>
      </c>
      <c r="T7" s="108">
        <f t="shared" si="7"/>
        <v>0</v>
      </c>
      <c r="U7" s="108">
        <f t="shared" si="10"/>
        <v>0</v>
      </c>
      <c r="V7" s="108">
        <f t="shared" si="8"/>
        <v>0</v>
      </c>
    </row>
    <row r="8" spans="1:22" ht="57" x14ac:dyDescent="0.2">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Evaluation'!$A$56:$K$346,3,0)&amp;""</f>
        <v>nsseshrt@iu.edu</v>
      </c>
      <c r="G8" s="4" t="str">
        <f>VLOOKUP($A8,'Institution Evaluation'!$A$56:$K$346,7,0)&amp;""</f>
        <v>Not scored</v>
      </c>
      <c r="H8" s="4" t="str">
        <f>VLOOKUP($A8,'Institution Evaluation'!$A$56:$K$346,8,0)&amp;""</f>
        <v/>
      </c>
      <c r="I8" s="4" t="str">
        <f>VLOOKUP($A8,'Institution Evaluation'!$A$56:$K$346,9,0)&amp;""</f>
        <v/>
      </c>
      <c r="J8" s="4" t="str">
        <f>VLOOKUP($A8,'Institution Evaluation'!$A$56:$K$346,10,0)&amp;""</f>
        <v/>
      </c>
      <c r="K8" s="4">
        <f t="shared" si="1"/>
        <v>10</v>
      </c>
      <c r="L8" s="108" t="str">
        <f>IF($E8="Not Scored", "N/A",IF(AND($D8='Auto Responses'!$J$27,$H8=""),"N/A",IF(AND($D8='Auto Responses'!$J$27,$H8='Auto Responses'!$J$7),1,IF(AND($D8='Auto Responses'!$J$27,$H8='Auto Responses'!$J$8),0,IF(OR($F8=$G8,$H8='Auto Responses'!$J$7),1,0)))))</f>
        <v>N/A</v>
      </c>
      <c r="M8" s="4" t="str">
        <f>VLOOKUP($A8,'Institution Evaluation'!$A$56:$K$346,10,0)&amp;""</f>
        <v/>
      </c>
      <c r="N8" s="4">
        <f t="shared" si="2"/>
        <v>0</v>
      </c>
      <c r="O8" s="108" t="str">
        <f t="shared" si="3"/>
        <v>N/A</v>
      </c>
      <c r="P8" s="108" t="str">
        <f t="shared" si="4"/>
        <v>N/A</v>
      </c>
      <c r="Q8" s="108">
        <f t="shared" si="5"/>
        <v>0</v>
      </c>
      <c r="R8" s="108">
        <f t="shared" si="9"/>
        <v>0</v>
      </c>
      <c r="S8" s="108">
        <f t="shared" si="6"/>
        <v>0</v>
      </c>
      <c r="T8" s="108">
        <f t="shared" si="7"/>
        <v>0</v>
      </c>
      <c r="U8" s="108">
        <f t="shared" si="10"/>
        <v>0</v>
      </c>
      <c r="V8" s="108">
        <f t="shared" si="8"/>
        <v>0</v>
      </c>
    </row>
    <row r="9" spans="1:22" ht="57" x14ac:dyDescent="0.2">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Evaluation'!$A$56:$K$346,3,0)&amp;""</f>
        <v>812-856-5824</v>
      </c>
      <c r="G9" s="4" t="str">
        <f>VLOOKUP($A9,'Institution Evaluation'!$A$56:$K$346,7,0)&amp;""</f>
        <v>Not scored</v>
      </c>
      <c r="H9" s="4" t="str">
        <f>VLOOKUP($A9,'Institution Evaluation'!$A$56:$K$346,8,0)&amp;""</f>
        <v/>
      </c>
      <c r="I9" s="4" t="str">
        <f>VLOOKUP($A9,'Institution Evaluation'!$A$56:$K$346,9,0)&amp;""</f>
        <v/>
      </c>
      <c r="J9" s="4" t="str">
        <f>VLOOKUP($A9,'Institution Evaluation'!$A$56:$K$346,10,0)&amp;""</f>
        <v/>
      </c>
      <c r="K9" s="4">
        <f t="shared" si="1"/>
        <v>10</v>
      </c>
      <c r="L9" s="108" t="str">
        <f>IF($E9="Not Scored", "N/A",IF(AND($D9='Auto Responses'!$J$27,$H9=""),"N/A",IF(AND($D9='Auto Responses'!$J$27,$H9='Auto Responses'!$J$7),1,IF(AND($D9='Auto Responses'!$J$27,$H9='Auto Responses'!$J$8),0,IF(OR($F9=$G9,$H9='Auto Responses'!$J$7),1,0)))))</f>
        <v>N/A</v>
      </c>
      <c r="M9" s="4" t="str">
        <f>VLOOKUP($A9,'Institution Evaluation'!$A$56:$K$346,10,0)&amp;""</f>
        <v/>
      </c>
      <c r="N9" s="4">
        <f t="shared" si="2"/>
        <v>0</v>
      </c>
      <c r="O9" s="108" t="str">
        <f t="shared" si="3"/>
        <v>N/A</v>
      </c>
      <c r="P9" s="108" t="str">
        <f t="shared" si="4"/>
        <v>N/A</v>
      </c>
      <c r="Q9" s="108">
        <f t="shared" si="5"/>
        <v>0</v>
      </c>
      <c r="R9" s="108">
        <f t="shared" si="9"/>
        <v>0</v>
      </c>
      <c r="S9" s="108">
        <f t="shared" si="6"/>
        <v>0</v>
      </c>
      <c r="T9" s="108">
        <f t="shared" si="7"/>
        <v>0</v>
      </c>
      <c r="U9" s="108">
        <f t="shared" si="10"/>
        <v>0</v>
      </c>
      <c r="V9" s="108">
        <f t="shared" si="8"/>
        <v>0</v>
      </c>
    </row>
    <row r="10" spans="1:22" ht="57" x14ac:dyDescent="0.2">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Evaluation'!$A$56:$K$346,3,0)&amp;""</f>
        <v>Bloomington, Indiana</v>
      </c>
      <c r="G10" s="4" t="str">
        <f>VLOOKUP($A10,'Institution Evaluation'!$A$56:$K$346,7,0)&amp;""</f>
        <v>Not scored</v>
      </c>
      <c r="H10" s="4" t="str">
        <f>VLOOKUP($A10,'Institution Evaluation'!$A$56:$K$346,8,0)&amp;""</f>
        <v/>
      </c>
      <c r="I10" s="4" t="str">
        <f>VLOOKUP($A10,'Institution Evaluation'!$A$56:$K$346,9,0)&amp;""</f>
        <v/>
      </c>
      <c r="J10" s="4" t="str">
        <f>VLOOKUP($A10,'Institution Evaluation'!$A$56:$K$346,10,0)&amp;""</f>
        <v/>
      </c>
      <c r="K10" s="4">
        <f t="shared" si="1"/>
        <v>10</v>
      </c>
      <c r="L10" s="108" t="str">
        <f>IF($E10="Not Scored", "N/A",IF(AND($D10='Auto Responses'!$J$27,$H10=""),"N/A",IF(AND($D10='Auto Responses'!$J$27,$H10='Auto Responses'!$J$7),1,IF(AND($D10='Auto Responses'!$J$27,$H10='Auto Responses'!$J$8),0,IF(OR($F10=$G10,$H10='Auto Responses'!$J$7),1,0)))))</f>
        <v>N/A</v>
      </c>
      <c r="M10" s="4" t="str">
        <f>VLOOKUP($A10,'Institution Evaluation'!$A$56:$K$346,10,0)&amp;""</f>
        <v/>
      </c>
      <c r="N10" s="4">
        <f t="shared" si="2"/>
        <v>0</v>
      </c>
      <c r="O10" s="108" t="str">
        <f t="shared" si="3"/>
        <v>N/A</v>
      </c>
      <c r="P10" s="108" t="str">
        <f t="shared" si="4"/>
        <v>N/A</v>
      </c>
      <c r="Q10" s="108">
        <f t="shared" si="5"/>
        <v>0</v>
      </c>
      <c r="R10" s="108">
        <f t="shared" si="9"/>
        <v>0</v>
      </c>
      <c r="S10" s="108">
        <f t="shared" si="6"/>
        <v>0</v>
      </c>
      <c r="T10" s="108">
        <f t="shared" si="7"/>
        <v>0</v>
      </c>
      <c r="U10" s="108">
        <f t="shared" si="10"/>
        <v>0</v>
      </c>
      <c r="V10" s="108">
        <f t="shared" si="8"/>
        <v>0</v>
      </c>
    </row>
    <row r="11" spans="1:22" ht="57" x14ac:dyDescent="0.2">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Evaluation'!$A$56:$K$346,3,0)&amp;""</f>
        <v/>
      </c>
      <c r="G11" s="4" t="str">
        <f>VLOOKUP($A11,'Institution Evaluation'!$A$56:$K$346,7,0)&amp;""</f>
        <v>Not scored</v>
      </c>
      <c r="H11" s="4" t="str">
        <f>VLOOKUP($A11,'Institution Evaluation'!$A$56:$K$346,8,0)&amp;""</f>
        <v/>
      </c>
      <c r="I11" s="4" t="str">
        <f>VLOOKUP($A11,'Institution Evaluation'!$A$56:$K$346,9,0)&amp;""</f>
        <v/>
      </c>
      <c r="J11" s="4" t="str">
        <f>VLOOKUP($A11,'Institution Evaluation'!$A$56:$K$346,10,0)&amp;""</f>
        <v/>
      </c>
      <c r="K11" s="4">
        <f t="shared" si="1"/>
        <v>10</v>
      </c>
      <c r="L11" s="108" t="str">
        <f>IF($E11="Not Scored", "N/A",IF(AND($D11='Auto Responses'!$J$27,$H11=""),"N/A",IF(AND($D11='Auto Responses'!$J$27,$H11='Auto Responses'!$J$7),1,IF(AND($D11='Auto Responses'!$J$27,$H11='Auto Responses'!$J$8),0,IF(OR($F11=$G11,$H11='Auto Responses'!$J$7),1,0)))))</f>
        <v>N/A</v>
      </c>
      <c r="M11" s="4" t="str">
        <f>VLOOKUP($A11,'Institution Evaluation'!$A$56:$K$346,10,0)&amp;""</f>
        <v/>
      </c>
      <c r="N11" s="4">
        <f t="shared" si="2"/>
        <v>0</v>
      </c>
      <c r="O11" s="108" t="str">
        <f t="shared" si="3"/>
        <v>N/A</v>
      </c>
      <c r="P11" s="108" t="str">
        <f t="shared" si="4"/>
        <v>N/A</v>
      </c>
      <c r="Q11" s="108">
        <f t="shared" si="5"/>
        <v>0</v>
      </c>
      <c r="R11" s="108">
        <f t="shared" si="9"/>
        <v>0</v>
      </c>
      <c r="S11" s="108">
        <f t="shared" si="6"/>
        <v>0</v>
      </c>
      <c r="T11" s="108">
        <f t="shared" si="7"/>
        <v>0</v>
      </c>
      <c r="U11" s="108">
        <f t="shared" si="10"/>
        <v>0</v>
      </c>
      <c r="V11" s="108">
        <f t="shared" si="8"/>
        <v>0</v>
      </c>
    </row>
    <row r="12" spans="1:22" ht="57" x14ac:dyDescent="0.2">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Evaluation'!$A$56:$K$346,3,0)&amp;""</f>
        <v>Yes</v>
      </c>
      <c r="G12" s="4" t="str">
        <f>VLOOKUP($A12,'Institution Evaluation'!$A$56:$K$346,7,0)&amp;""</f>
        <v>Yes</v>
      </c>
      <c r="H12" s="4" t="str">
        <f>VLOOKUP($A12,'Institution Evaluation'!$A$56:$K$346,8,0)&amp;""</f>
        <v/>
      </c>
      <c r="I12" s="4" t="str">
        <f>VLOOKUP($A12,'Institution Evaluation'!$A$56:$K$346,9,0)&amp;""</f>
        <v>Critical Importance</v>
      </c>
      <c r="J12" s="4" t="str">
        <f>VLOOKUP($A12,'Institution Evaluation'!$A$56:$K$346,10,0)&amp;""</f>
        <v/>
      </c>
      <c r="K12" s="4">
        <f t="shared" si="1"/>
        <v>20</v>
      </c>
      <c r="L12" s="108">
        <f>IF($E12="Not Scored", "N/A",IF(AND($D12='Auto Responses'!$J$27,$H12=""),"N/A",IF(AND($D12='Auto Responses'!$J$27,$H12='Auto Responses'!$J$7),1,IF(AND($D12='Auto Responses'!$J$27,$H12='Auto Responses'!$J$8),0,IF(OR($F12=$G12,$H12='Auto Responses'!$J$7),1,0)))))</f>
        <v>1</v>
      </c>
      <c r="M12" s="4" t="str">
        <f>VLOOKUP($A12,'Institution Evaluation'!$A$56:$K$346,10,0)&amp;""</f>
        <v/>
      </c>
      <c r="N12" s="4">
        <f t="shared" si="2"/>
        <v>1</v>
      </c>
      <c r="O12" s="108">
        <f t="shared" si="3"/>
        <v>20</v>
      </c>
      <c r="P12" s="108">
        <f t="shared" si="4"/>
        <v>20</v>
      </c>
      <c r="Q12" s="108">
        <f t="shared" si="5"/>
        <v>0</v>
      </c>
      <c r="R12" s="108">
        <f t="shared" si="9"/>
        <v>0</v>
      </c>
      <c r="S12" s="108">
        <f t="shared" si="6"/>
        <v>0</v>
      </c>
      <c r="T12" s="108">
        <f t="shared" si="7"/>
        <v>1</v>
      </c>
      <c r="U12" s="108">
        <f t="shared" si="10"/>
        <v>1</v>
      </c>
      <c r="V12" s="108">
        <f t="shared" si="8"/>
        <v>1</v>
      </c>
    </row>
    <row r="13" spans="1:22" ht="156.75" x14ac:dyDescent="0.2">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Evaluation'!$A$56:$K$346,3,0)&amp;""</f>
        <v>NSSE Shorts is a project within the larger National Survey of Student Engagement at Indiana University.  NSSE has been an active project at Indiana University since 1999.</v>
      </c>
      <c r="G13" s="4" t="str">
        <f>VLOOKUP($A13,'Institution Evaluation'!$A$56:$K$346,7,0)&amp;""</f>
        <v>Not scored</v>
      </c>
      <c r="H13" s="4" t="str">
        <f>VLOOKUP($A13,'Institution Evaluation'!$A$56:$K$346,8,0)&amp;""</f>
        <v/>
      </c>
      <c r="I13" s="4" t="str">
        <f>VLOOKUP($A13,'Institution Evaluation'!$A$56:$K$346,9,0)&amp;""</f>
        <v/>
      </c>
      <c r="J13" s="4" t="str">
        <f>VLOOKUP($A13,'Institution Evaluation'!$A$56:$K$346,10,0)&amp;""</f>
        <v/>
      </c>
      <c r="K13" s="4">
        <f t="shared" si="1"/>
        <v>10</v>
      </c>
      <c r="L13" s="108" t="str">
        <f>IF($E13="Not Scored", "N/A",IF(AND($D13='Auto Responses'!$J$27,$H13=""),"N/A",IF(AND($D13='Auto Responses'!$J$27,$H13='Auto Responses'!$J$7),1,IF(AND($D13='Auto Responses'!$J$27,$H13='Auto Responses'!$J$8),0,IF(OR($F13=$G13,$H13='Auto Responses'!$J$7),1,0)))))</f>
        <v>N/A</v>
      </c>
      <c r="M13" s="4" t="str">
        <f>VLOOKUP($A13,'Institution Evaluation'!$A$56:$K$346,10,0)&amp;""</f>
        <v/>
      </c>
      <c r="N13" s="4">
        <f t="shared" si="2"/>
        <v>0</v>
      </c>
      <c r="O13" s="108" t="str">
        <f t="shared" si="3"/>
        <v>N/A</v>
      </c>
      <c r="P13" s="108" t="str">
        <f t="shared" si="4"/>
        <v>N/A</v>
      </c>
      <c r="Q13" s="108">
        <f t="shared" si="5"/>
        <v>0</v>
      </c>
      <c r="R13" s="108">
        <f t="shared" si="9"/>
        <v>0</v>
      </c>
      <c r="S13" s="108">
        <f t="shared" si="6"/>
        <v>0</v>
      </c>
      <c r="T13" s="108">
        <f t="shared" si="7"/>
        <v>0</v>
      </c>
      <c r="U13" s="108">
        <f t="shared" si="10"/>
        <v>1</v>
      </c>
      <c r="V13" s="108">
        <f t="shared" si="8"/>
        <v>0</v>
      </c>
    </row>
    <row r="14" spans="1:22" ht="57" x14ac:dyDescent="0.2">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Evaluation'!$A$56:$K$346,3,0)&amp;""</f>
        <v>Yes</v>
      </c>
      <c r="G14" s="4" t="str">
        <f>VLOOKUP($A14,'Institution Evaluation'!$A$56:$K$346,7,0)&amp;""</f>
        <v>Yes</v>
      </c>
      <c r="H14" s="4" t="str">
        <f>VLOOKUP($A14,'Institution Evaluation'!$A$56:$K$346,8,0)&amp;""</f>
        <v/>
      </c>
      <c r="I14" s="4" t="str">
        <f>VLOOKUP($A14,'Institution Evaluation'!$A$56:$K$346,9,0)&amp;""</f>
        <v>Minor Importance</v>
      </c>
      <c r="J14" s="4" t="str">
        <f>VLOOKUP($A14,'Institution Evaluation'!$A$56:$K$346,10,0)&amp;""</f>
        <v/>
      </c>
      <c r="K14" s="4">
        <f t="shared" si="1"/>
        <v>5</v>
      </c>
      <c r="L14" s="108">
        <f>IF($E14="Not Scored", "N/A",IF(AND($D14='Auto Responses'!$J$27,$H14=""),"N/A",IF(AND($D14='Auto Responses'!$J$27,$H14='Auto Responses'!$J$7),1,IF(AND($D14='Auto Responses'!$J$27,$H14='Auto Responses'!$J$8),0,IF(OR($F14=$G14,$H14='Auto Responses'!$J$7),1,0)))))</f>
        <v>1</v>
      </c>
      <c r="M14" s="4" t="str">
        <f>VLOOKUP($A14,'Institution Evaluation'!$A$56:$K$346,10,0)&amp;""</f>
        <v/>
      </c>
      <c r="N14" s="4">
        <f t="shared" si="2"/>
        <v>0</v>
      </c>
      <c r="O14" s="108">
        <f t="shared" si="3"/>
        <v>5</v>
      </c>
      <c r="P14" s="108">
        <f t="shared" si="4"/>
        <v>5</v>
      </c>
      <c r="Q14" s="108">
        <f t="shared" si="5"/>
        <v>0</v>
      </c>
      <c r="R14" s="108">
        <f t="shared" si="9"/>
        <v>0</v>
      </c>
      <c r="S14" s="108">
        <f t="shared" si="6"/>
        <v>0</v>
      </c>
      <c r="T14" s="108">
        <f t="shared" si="7"/>
        <v>0</v>
      </c>
      <c r="U14" s="108">
        <f t="shared" si="10"/>
        <v>1</v>
      </c>
      <c r="V14" s="108">
        <f t="shared" si="8"/>
        <v>0</v>
      </c>
    </row>
    <row r="15" spans="1:22" ht="57" x14ac:dyDescent="0.2">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Evaluation'!$A$56:$K$346,3,0)&amp;""</f>
        <v>Yes</v>
      </c>
      <c r="G15" s="4" t="str">
        <f>VLOOKUP($A15,'Institution Evaluation'!$A$56:$K$346,7,0)&amp;""</f>
        <v>Yes</v>
      </c>
      <c r="H15" s="4" t="str">
        <f>VLOOKUP($A15,'Institution Evaluation'!$A$56:$K$346,8,0)&amp;""</f>
        <v/>
      </c>
      <c r="I15" s="4" t="str">
        <f>VLOOKUP($A15,'Institution Evaluation'!$A$56:$K$346,9,0)&amp;""</f>
        <v>Minor Importance</v>
      </c>
      <c r="J15" s="4" t="str">
        <f>VLOOKUP($A15,'Institution Evaluation'!$A$56:$K$346,10,0)&amp;""</f>
        <v/>
      </c>
      <c r="K15" s="4">
        <f t="shared" si="1"/>
        <v>5</v>
      </c>
      <c r="L15" s="108">
        <f>IF($E15="Not Scored", "N/A",IF(AND($D15='Auto Responses'!$J$27,$H15=""),"N/A",IF(AND($D15='Auto Responses'!$J$27,$H15='Auto Responses'!$J$7),1,IF(AND($D15='Auto Responses'!$J$27,$H15='Auto Responses'!$J$8),0,IF(OR($F15=$G15,$H15='Auto Responses'!$J$7),1,0)))))</f>
        <v>1</v>
      </c>
      <c r="M15" s="4" t="str">
        <f>VLOOKUP($A15,'Institution Evaluation'!$A$56:$K$346,10,0)&amp;""</f>
        <v/>
      </c>
      <c r="N15" s="4">
        <f t="shared" si="2"/>
        <v>0</v>
      </c>
      <c r="O15" s="108">
        <f t="shared" si="3"/>
        <v>5</v>
      </c>
      <c r="P15" s="108">
        <f t="shared" si="4"/>
        <v>5</v>
      </c>
      <c r="Q15" s="108">
        <f t="shared" si="5"/>
        <v>0</v>
      </c>
      <c r="R15" s="108">
        <f t="shared" si="9"/>
        <v>0</v>
      </c>
      <c r="S15" s="108">
        <f t="shared" si="6"/>
        <v>0</v>
      </c>
      <c r="T15" s="108">
        <f t="shared" si="7"/>
        <v>0</v>
      </c>
      <c r="U15" s="108">
        <f t="shared" si="10"/>
        <v>1</v>
      </c>
      <c r="V15" s="108">
        <f t="shared" si="8"/>
        <v>0</v>
      </c>
    </row>
    <row r="16" spans="1:22" ht="142.5" x14ac:dyDescent="0.2">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Evaluation'!$A$56:$K$346,3,0)&amp;""</f>
        <v>NSSE Shorts uses Qualtrics survey and dashboard products; all data and reports accessed by institutions is via the Qualtrics dashboard</v>
      </c>
      <c r="G16" s="4" t="str">
        <f>VLOOKUP($A16,'Institution Evaluation'!$A$56:$K$346,7,0)&amp;""</f>
        <v>Not scored</v>
      </c>
      <c r="H16" s="4" t="str">
        <f>VLOOKUP($A16,'Institution Evaluation'!$A$56:$K$346,8,0)&amp;""</f>
        <v/>
      </c>
      <c r="I16" s="4" t="str">
        <f>VLOOKUP($A16,'Institution Evaluation'!$A$56:$K$346,9,0)&amp;""</f>
        <v/>
      </c>
      <c r="J16" s="4" t="str">
        <f>VLOOKUP($A16,'Institution Evaluation'!$A$56:$K$346,10,0)&amp;""</f>
        <v/>
      </c>
      <c r="K16" s="4">
        <f t="shared" si="1"/>
        <v>10</v>
      </c>
      <c r="L16" s="108" t="str">
        <f>IF($E16="Not Scored", "N/A",IF(AND($D16='Auto Responses'!$J$27,$H16=""),"N/A",IF(AND($D16='Auto Responses'!$J$27,$H16='Auto Responses'!$J$7),1,IF(AND($D16='Auto Responses'!$J$27,$H16='Auto Responses'!$J$8),0,IF(OR($F16=$G16,$H16='Auto Responses'!$J$7),1,0)))))</f>
        <v>N/A</v>
      </c>
      <c r="M16" s="4" t="str">
        <f>VLOOKUP($A16,'Institution Evaluation'!$A$56:$K$346,10,0)&amp;""</f>
        <v/>
      </c>
      <c r="N16" s="4">
        <f t="shared" si="2"/>
        <v>0</v>
      </c>
      <c r="O16" s="108" t="str">
        <f t="shared" si="3"/>
        <v>N/A</v>
      </c>
      <c r="P16" s="108" t="str">
        <f t="shared" si="4"/>
        <v>N/A</v>
      </c>
      <c r="Q16" s="108">
        <f t="shared" si="5"/>
        <v>0</v>
      </c>
      <c r="R16" s="108">
        <f t="shared" si="9"/>
        <v>0</v>
      </c>
      <c r="S16" s="108">
        <f t="shared" si="6"/>
        <v>0</v>
      </c>
      <c r="T16" s="108">
        <f t="shared" si="7"/>
        <v>0</v>
      </c>
      <c r="U16" s="108">
        <f t="shared" si="10"/>
        <v>1</v>
      </c>
      <c r="V16" s="108">
        <f t="shared" si="8"/>
        <v>0</v>
      </c>
    </row>
    <row r="17" spans="1:22" ht="57" x14ac:dyDescent="0.2">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Evaluation'!$A$56:$K$346,3,0)&amp;""</f>
        <v>Yes</v>
      </c>
      <c r="G17" s="4" t="str">
        <f>VLOOKUP($A17,'Institution Evaluation'!$A$56:$K$346,7,0)&amp;""</f>
        <v>Not scored</v>
      </c>
      <c r="H17" s="4" t="str">
        <f>VLOOKUP($A17,'Institution Evaluation'!$A$56:$K$346,8,0)&amp;""</f>
        <v/>
      </c>
      <c r="I17" s="4" t="str">
        <f>VLOOKUP($A17,'Institution Evaluation'!$A$56:$K$346,9,0)&amp;""</f>
        <v/>
      </c>
      <c r="J17" s="4" t="str">
        <f>VLOOKUP($A17,'Institution Evaluation'!$A$56:$K$346,10,0)&amp;""</f>
        <v/>
      </c>
      <c r="K17" s="4">
        <f t="shared" si="1"/>
        <v>10</v>
      </c>
      <c r="L17" s="108" t="str">
        <f>IF($E17="Not Scored", "N/A",IF(AND($D17='Auto Responses'!$J$27,$H17=""),"N/A",IF(AND($D17='Auto Responses'!$J$27,$H17='Auto Responses'!$J$7),1,IF(AND($D17='Auto Responses'!$J$27,$H17='Auto Responses'!$J$8),0,IF(OR($F17=$G17,$H17='Auto Responses'!$J$7),1,0)))))</f>
        <v>N/A</v>
      </c>
      <c r="M17" s="4" t="str">
        <f>VLOOKUP($A17,'Institution Evaluation'!$A$56:$K$346,10,0)&amp;""</f>
        <v/>
      </c>
      <c r="N17" s="4">
        <f t="shared" si="2"/>
        <v>0</v>
      </c>
      <c r="O17" s="108" t="str">
        <f t="shared" si="3"/>
        <v>N/A</v>
      </c>
      <c r="P17" s="108" t="str">
        <f t="shared" si="4"/>
        <v>N/A</v>
      </c>
      <c r="Q17" s="108">
        <f t="shared" si="5"/>
        <v>0</v>
      </c>
      <c r="R17" s="108">
        <f t="shared" si="9"/>
        <v>0</v>
      </c>
      <c r="S17" s="108">
        <f t="shared" si="6"/>
        <v>0</v>
      </c>
      <c r="T17" s="108">
        <f t="shared" si="7"/>
        <v>0</v>
      </c>
      <c r="U17" s="108">
        <f t="shared" si="10"/>
        <v>1</v>
      </c>
      <c r="V17" s="108">
        <f t="shared" si="8"/>
        <v>0</v>
      </c>
    </row>
    <row r="18" spans="1:22" ht="57" x14ac:dyDescent="0.2">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Evaluation'!$A$56:$K$346,3,0)&amp;""</f>
        <v>Yes</v>
      </c>
      <c r="G18" s="4" t="str">
        <f>VLOOKUP($A18,'Institution Evaluation'!$A$56:$K$346,7,0)&amp;""</f>
        <v>Not scored</v>
      </c>
      <c r="H18" s="4" t="str">
        <f>VLOOKUP($A18,'Institution Evaluation'!$A$56:$K$346,8,0)&amp;""</f>
        <v/>
      </c>
      <c r="I18" s="4" t="str">
        <f>VLOOKUP($A18,'Institution Evaluation'!$A$56:$K$346,9,0)&amp;""</f>
        <v/>
      </c>
      <c r="J18" s="4" t="str">
        <f>VLOOKUP($A18,'Institution Evaluation'!$A$56:$K$346,10,0)&amp;""</f>
        <v/>
      </c>
      <c r="K18" s="4">
        <f t="shared" si="1"/>
        <v>10</v>
      </c>
      <c r="L18" s="108" t="str">
        <f>IF($E18="Not Scored", "N/A",IF(AND($D18='Auto Responses'!$J$27,$H18=""),"N/A",IF(AND($D18='Auto Responses'!$J$27,$H18='Auto Responses'!$J$7),1,IF(AND($D18='Auto Responses'!$J$27,$H18='Auto Responses'!$J$8),0,IF(OR($F18=$G18,$H18='Auto Responses'!$J$7),1,0)))))</f>
        <v>N/A</v>
      </c>
      <c r="M18" s="4" t="str">
        <f>VLOOKUP($A18,'Institution Evaluation'!$A$56:$K$346,10,0)&amp;""</f>
        <v/>
      </c>
      <c r="N18" s="4">
        <f t="shared" si="2"/>
        <v>0</v>
      </c>
      <c r="O18" s="108" t="str">
        <f t="shared" si="3"/>
        <v>N/A</v>
      </c>
      <c r="P18" s="108" t="str">
        <f t="shared" si="4"/>
        <v>N/A</v>
      </c>
      <c r="Q18" s="108">
        <f t="shared" si="5"/>
        <v>0</v>
      </c>
      <c r="R18" s="108">
        <f t="shared" si="9"/>
        <v>0</v>
      </c>
      <c r="S18" s="108">
        <f t="shared" si="6"/>
        <v>0</v>
      </c>
      <c r="T18" s="108">
        <f t="shared" si="7"/>
        <v>0</v>
      </c>
      <c r="U18" s="108">
        <f t="shared" si="10"/>
        <v>1</v>
      </c>
      <c r="V18" s="108">
        <f t="shared" si="8"/>
        <v>0</v>
      </c>
    </row>
    <row r="19" spans="1:22" ht="57" x14ac:dyDescent="0.2">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Evaluation'!$A$56:$K$346,3,0)&amp;""</f>
        <v>No</v>
      </c>
      <c r="G19" s="4" t="str">
        <f>VLOOKUP($A19,'Institution Evaluation'!$A$56:$K$346,7,0)&amp;""</f>
        <v>Not scored</v>
      </c>
      <c r="H19" s="4" t="str">
        <f>VLOOKUP($A19,'Institution Evaluation'!$A$56:$K$346,8,0)&amp;""</f>
        <v/>
      </c>
      <c r="I19" s="4" t="str">
        <f>VLOOKUP($A19,'Institution Evaluation'!$A$56:$K$346,9,0)&amp;""</f>
        <v/>
      </c>
      <c r="J19" s="4" t="str">
        <f>VLOOKUP($A19,'Institution Evaluation'!$A$56:$K$346,10,0)&amp;""</f>
        <v/>
      </c>
      <c r="K19" s="4">
        <f t="shared" si="1"/>
        <v>10</v>
      </c>
      <c r="L19" s="108" t="str">
        <f>IF($E19="Not Scored", "N/A",IF(AND($D19='Auto Responses'!$J$27,$H19=""),"N/A",IF(AND($D19='Auto Responses'!$J$27,$H19='Auto Responses'!$J$7),1,IF(AND($D19='Auto Responses'!$J$27,$H19='Auto Responses'!$J$8),0,IF(OR($F19=$G19,$H19='Auto Responses'!$J$7),1,0)))))</f>
        <v>N/A</v>
      </c>
      <c r="M19" s="4" t="str">
        <f>VLOOKUP($A19,'Institution Evaluation'!$A$56:$K$346,10,0)&amp;""</f>
        <v/>
      </c>
      <c r="N19" s="4">
        <f t="shared" si="2"/>
        <v>0</v>
      </c>
      <c r="O19" s="108" t="str">
        <f t="shared" si="3"/>
        <v>N/A</v>
      </c>
      <c r="P19" s="108" t="str">
        <f t="shared" si="4"/>
        <v>N/A</v>
      </c>
      <c r="Q19" s="108">
        <f t="shared" si="5"/>
        <v>0</v>
      </c>
      <c r="R19" s="108">
        <f t="shared" si="9"/>
        <v>0</v>
      </c>
      <c r="S19" s="108">
        <f t="shared" si="6"/>
        <v>0</v>
      </c>
      <c r="T19" s="108">
        <f t="shared" si="7"/>
        <v>0</v>
      </c>
      <c r="U19" s="108">
        <f t="shared" si="10"/>
        <v>1</v>
      </c>
      <c r="V19" s="108">
        <f t="shared" si="8"/>
        <v>0</v>
      </c>
    </row>
    <row r="20" spans="1:22" ht="57" x14ac:dyDescent="0.2">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Evaluation'!$A$56:$K$346,3,0)&amp;""</f>
        <v>No</v>
      </c>
      <c r="G20" s="4" t="str">
        <f>VLOOKUP($A20,'Institution Evaluation'!$A$56:$K$346,7,0)&amp;""</f>
        <v>Not scored</v>
      </c>
      <c r="H20" s="4" t="str">
        <f>VLOOKUP($A20,'Institution Evaluation'!$A$56:$K$346,8,0)&amp;""</f>
        <v/>
      </c>
      <c r="I20" s="4" t="str">
        <f>VLOOKUP($A20,'Institution Evaluation'!$A$56:$K$346,9,0)&amp;""</f>
        <v/>
      </c>
      <c r="J20" s="4" t="str">
        <f>VLOOKUP($A20,'Institution Evaluation'!$A$56:$K$346,10,0)&amp;""</f>
        <v/>
      </c>
      <c r="K20" s="4">
        <f t="shared" si="1"/>
        <v>10</v>
      </c>
      <c r="L20" s="108" t="str">
        <f>IF($E20="Not Scored", "N/A",IF(AND($D20='Auto Responses'!$J$27,$H20=""),"N/A",IF(AND($D20='Auto Responses'!$J$27,$H20='Auto Responses'!$J$7),1,IF(AND($D20='Auto Responses'!$J$27,$H20='Auto Responses'!$J$8),0,IF(OR($F20=$G20,$H20='Auto Responses'!$J$7),1,0)))))</f>
        <v>N/A</v>
      </c>
      <c r="M20" s="4" t="str">
        <f>VLOOKUP($A20,'Institution Evaluation'!$A$56:$K$346,10,0)&amp;""</f>
        <v/>
      </c>
      <c r="N20" s="4">
        <f t="shared" si="2"/>
        <v>0</v>
      </c>
      <c r="O20" s="108" t="str">
        <f t="shared" si="3"/>
        <v>N/A</v>
      </c>
      <c r="P20" s="108" t="str">
        <f t="shared" si="4"/>
        <v>N/A</v>
      </c>
      <c r="Q20" s="108">
        <f t="shared" si="5"/>
        <v>0</v>
      </c>
      <c r="R20" s="108">
        <f t="shared" si="9"/>
        <v>0</v>
      </c>
      <c r="S20" s="108">
        <f t="shared" si="6"/>
        <v>0</v>
      </c>
      <c r="T20" s="108">
        <f t="shared" si="7"/>
        <v>0</v>
      </c>
      <c r="U20" s="108">
        <f t="shared" si="10"/>
        <v>1</v>
      </c>
      <c r="V20" s="108">
        <f t="shared" si="8"/>
        <v>0</v>
      </c>
    </row>
    <row r="21" spans="1:22" ht="57" x14ac:dyDescent="0.2">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Evaluation'!$A$56:$K$346,3,0)&amp;""</f>
        <v>No</v>
      </c>
      <c r="G21" s="4" t="str">
        <f>VLOOKUP($A21,'Institution Evaluation'!$A$56:$K$346,7,0)&amp;""</f>
        <v>Not scored</v>
      </c>
      <c r="H21" s="4" t="str">
        <f>VLOOKUP($A21,'Institution Evaluation'!$A$56:$K$346,8,0)&amp;""</f>
        <v/>
      </c>
      <c r="I21" s="4" t="str">
        <f>VLOOKUP($A21,'Institution Evaluation'!$A$56:$K$346,9,0)&amp;""</f>
        <v/>
      </c>
      <c r="J21" s="4" t="str">
        <f>VLOOKUP($A21,'Institution Evaluation'!$A$56:$K$346,10,0)&amp;""</f>
        <v/>
      </c>
      <c r="K21" s="4">
        <f t="shared" si="1"/>
        <v>10</v>
      </c>
      <c r="L21" s="108" t="str">
        <f>IF($E21="Not Scored", "N/A",IF(AND($D21='Auto Responses'!$J$27,$H21=""),"N/A",IF(AND($D21='Auto Responses'!$J$27,$H21='Auto Responses'!$J$7),1,IF(AND($D21='Auto Responses'!$J$27,$H21='Auto Responses'!$J$8),0,IF(OR($F21=$G21,$H21='Auto Responses'!$J$7),1,0)))))</f>
        <v>N/A</v>
      </c>
      <c r="M21" s="4" t="str">
        <f>VLOOKUP($A21,'Institution Evaluation'!$A$56:$K$346,10,0)&amp;""</f>
        <v/>
      </c>
      <c r="N21" s="4">
        <f t="shared" si="2"/>
        <v>0</v>
      </c>
      <c r="O21" s="108" t="str">
        <f t="shared" si="3"/>
        <v>N/A</v>
      </c>
      <c r="P21" s="108" t="str">
        <f t="shared" si="4"/>
        <v>N/A</v>
      </c>
      <c r="Q21" s="108">
        <f t="shared" si="5"/>
        <v>0</v>
      </c>
      <c r="R21" s="108">
        <f t="shared" si="9"/>
        <v>0</v>
      </c>
      <c r="S21" s="108">
        <f t="shared" si="6"/>
        <v>0</v>
      </c>
      <c r="T21" s="108">
        <f t="shared" si="7"/>
        <v>0</v>
      </c>
      <c r="U21" s="108">
        <f t="shared" si="10"/>
        <v>1</v>
      </c>
      <c r="V21" s="108">
        <f t="shared" si="8"/>
        <v>0</v>
      </c>
    </row>
    <row r="22" spans="1:22" ht="57" x14ac:dyDescent="0.2">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Evaluation'!$A$56:$K$346,3,0)&amp;""</f>
        <v>No</v>
      </c>
      <c r="G22" s="4" t="str">
        <f>VLOOKUP($A22,'Institution Evaluation'!$A$56:$K$346,7,0)&amp;""</f>
        <v>Not scored</v>
      </c>
      <c r="H22" s="4" t="str">
        <f>VLOOKUP($A22,'Institution Evaluation'!$A$56:$K$346,8,0)&amp;""</f>
        <v/>
      </c>
      <c r="I22" s="4" t="str">
        <f>VLOOKUP($A22,'Institution Evaluation'!$A$56:$K$346,9,0)&amp;""</f>
        <v/>
      </c>
      <c r="J22" s="4" t="str">
        <f>VLOOKUP($A22,'Institution Evaluation'!$A$56:$K$346,10,0)&amp;""</f>
        <v/>
      </c>
      <c r="K22" s="4">
        <f t="shared" si="1"/>
        <v>10</v>
      </c>
      <c r="L22" s="108" t="str">
        <f>IF($E22="Not Scored", "N/A",IF(AND($D22='Auto Responses'!$J$27,$H22=""),"N/A",IF(AND($D22='Auto Responses'!$J$27,$H22='Auto Responses'!$J$7),1,IF(AND($D22='Auto Responses'!$J$27,$H22='Auto Responses'!$J$8),0,IF(OR($F22=$G22,$H22='Auto Responses'!$J$7),1,0)))))</f>
        <v>N/A</v>
      </c>
      <c r="M22" s="4" t="str">
        <f>VLOOKUP($A22,'Institution Evaluation'!$A$56:$K$346,10,0)&amp;""</f>
        <v/>
      </c>
      <c r="N22" s="4">
        <f t="shared" si="2"/>
        <v>0</v>
      </c>
      <c r="O22" s="108" t="str">
        <f t="shared" si="3"/>
        <v>N/A</v>
      </c>
      <c r="P22" s="108" t="str">
        <f t="shared" si="4"/>
        <v>N/A</v>
      </c>
      <c r="Q22" s="108">
        <f t="shared" si="5"/>
        <v>0</v>
      </c>
      <c r="R22" s="108">
        <f t="shared" si="9"/>
        <v>0</v>
      </c>
      <c r="S22" s="108">
        <f t="shared" si="6"/>
        <v>0</v>
      </c>
      <c r="T22" s="108">
        <f t="shared" si="7"/>
        <v>0</v>
      </c>
      <c r="U22" s="108">
        <f t="shared" si="10"/>
        <v>1</v>
      </c>
      <c r="V22" s="108">
        <f t="shared" si="8"/>
        <v>0</v>
      </c>
    </row>
    <row r="23" spans="1:22" ht="71.25" x14ac:dyDescent="0.2">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Evaluation'!$A$56:$K$346,3,0)&amp;""</f>
        <v>No</v>
      </c>
      <c r="G23" s="4" t="str">
        <f>VLOOKUP($A23,'Institution Evaluation'!$A$56:$K$346,7,0)&amp;""</f>
        <v>Not scored</v>
      </c>
      <c r="H23" s="4" t="str">
        <f>VLOOKUP($A23,'Institution Evaluation'!$A$56:$K$346,8,0)&amp;""</f>
        <v/>
      </c>
      <c r="I23" s="4" t="str">
        <f>VLOOKUP($A23,'Institution Evaluation'!$A$56:$K$346,9,0)&amp;""</f>
        <v/>
      </c>
      <c r="J23" s="4" t="str">
        <f>VLOOKUP($A23,'Institution Evaluation'!$A$56:$K$346,10,0)&amp;""</f>
        <v/>
      </c>
      <c r="K23" s="4">
        <f t="shared" si="1"/>
        <v>10</v>
      </c>
      <c r="L23" s="108" t="str">
        <f>IF($E23="Not Scored", "N/A",IF(AND($D23='Auto Responses'!$J$27,$H23=""),"N/A",IF(AND($D23='Auto Responses'!$J$27,$H23='Auto Responses'!$J$7),1,IF(AND($D23='Auto Responses'!$J$27,$H23='Auto Responses'!$J$8),0,IF(OR($F23=$G23,$H23='Auto Responses'!$J$7),1,0)))))</f>
        <v>N/A</v>
      </c>
      <c r="M23" s="4" t="str">
        <f>VLOOKUP($A23,'Institution Evaluation'!$A$56:$K$346,10,0)&amp;""</f>
        <v/>
      </c>
      <c r="N23" s="4">
        <f t="shared" si="2"/>
        <v>0</v>
      </c>
      <c r="O23" s="108" t="str">
        <f t="shared" si="3"/>
        <v>N/A</v>
      </c>
      <c r="P23" s="108" t="str">
        <f t="shared" si="4"/>
        <v>N/A</v>
      </c>
      <c r="Q23" s="108">
        <f t="shared" si="5"/>
        <v>0</v>
      </c>
      <c r="R23" s="108">
        <f t="shared" si="9"/>
        <v>0</v>
      </c>
      <c r="S23" s="108">
        <f t="shared" si="6"/>
        <v>0</v>
      </c>
      <c r="T23" s="108">
        <f t="shared" si="7"/>
        <v>0</v>
      </c>
      <c r="U23" s="108">
        <f t="shared" si="10"/>
        <v>1</v>
      </c>
      <c r="V23" s="108">
        <f t="shared" si="8"/>
        <v>0</v>
      </c>
    </row>
    <row r="24" spans="1:22" ht="57" x14ac:dyDescent="0.2">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Evaluation'!$A$56:$K$346,3,0)&amp;""</f>
        <v>No</v>
      </c>
      <c r="G24" s="4" t="str">
        <f>VLOOKUP($A24,'Institution Evaluation'!$A$56:$K$346,7,0)&amp;""</f>
        <v>Not scored</v>
      </c>
      <c r="H24" s="4" t="str">
        <f>VLOOKUP($A24,'Institution Evaluation'!$A$56:$K$346,8,0)&amp;""</f>
        <v/>
      </c>
      <c r="I24" s="4" t="str">
        <f>VLOOKUP($A24,'Institution Evaluation'!$A$56:$K$346,9,0)&amp;""</f>
        <v/>
      </c>
      <c r="J24" s="4" t="str">
        <f>VLOOKUP($A24,'Institution Evaluation'!$A$56:$K$346,10,0)&amp;""</f>
        <v/>
      </c>
      <c r="K24" s="4">
        <f t="shared" si="1"/>
        <v>10</v>
      </c>
      <c r="L24" s="108" t="str">
        <f>IF($E24="Not Scored", "N/A",IF(AND($D24='Auto Responses'!$J$27,$H24=""),"N/A",IF(AND($D24='Auto Responses'!$J$27,$H24='Auto Responses'!$J$7),1,IF(AND($D24='Auto Responses'!$J$27,$H24='Auto Responses'!$J$8),0,IF(OR($F24=$G24,$H24='Auto Responses'!$J$7),1,0)))))</f>
        <v>N/A</v>
      </c>
      <c r="M24" s="4" t="str">
        <f>VLOOKUP($A24,'Institution Evaluation'!$A$56:$K$346,10,0)&amp;""</f>
        <v/>
      </c>
      <c r="N24" s="4">
        <f t="shared" si="2"/>
        <v>0</v>
      </c>
      <c r="O24" s="108" t="str">
        <f t="shared" si="3"/>
        <v>N/A</v>
      </c>
      <c r="P24" s="108" t="str">
        <f t="shared" si="4"/>
        <v>N/A</v>
      </c>
      <c r="Q24" s="108">
        <f t="shared" si="5"/>
        <v>0</v>
      </c>
      <c r="R24" s="108">
        <f t="shared" si="9"/>
        <v>0</v>
      </c>
      <c r="S24" s="108">
        <f t="shared" si="6"/>
        <v>0</v>
      </c>
      <c r="T24" s="108">
        <f t="shared" si="7"/>
        <v>0</v>
      </c>
      <c r="U24" s="108">
        <f t="shared" si="10"/>
        <v>1</v>
      </c>
      <c r="V24" s="108">
        <f t="shared" si="8"/>
        <v>0</v>
      </c>
    </row>
    <row r="25" spans="1:22" ht="57" x14ac:dyDescent="0.2">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Evaluation'!$A$56:$K$346,3,0)&amp;""</f>
        <v>No</v>
      </c>
      <c r="G25" s="4" t="str">
        <f>VLOOKUP($A25,'Institution Evaluation'!$A$56:$K$346,7,0)&amp;""</f>
        <v>Yes</v>
      </c>
      <c r="H25" s="4" t="str">
        <f>VLOOKUP($A25,'Institution Evaluation'!$A$56:$K$346,8,0)&amp;""</f>
        <v/>
      </c>
      <c r="I25" s="4" t="str">
        <f>VLOOKUP($A25,'Institution Evaluation'!$A$56:$K$346,9,0)&amp;""</f>
        <v>Critical Importance</v>
      </c>
      <c r="J25" s="4" t="str">
        <f>VLOOKUP($A25,'Institution Evaluation'!$A$56:$K$346,10,0)&amp;""</f>
        <v/>
      </c>
      <c r="K25" s="4">
        <f t="shared" si="1"/>
        <v>20</v>
      </c>
      <c r="L25" s="108">
        <f>IF($E25="Not Scored", "N/A",IF(AND($D25='Auto Responses'!$J$27,$H25=""),"N/A",IF(AND($D25='Auto Responses'!$J$27,$H25='Auto Responses'!$J$7),1,IF(AND($D25='Auto Responses'!$J$27,$H25='Auto Responses'!$J$8),0,IF(OR($F25=$G25,$H25='Auto Responses'!$J$7),1,0)))))</f>
        <v>0</v>
      </c>
      <c r="M25" s="4" t="str">
        <f>VLOOKUP($A25,'Institution Evaluation'!$A$56:$K$346,10,0)&amp;""</f>
        <v/>
      </c>
      <c r="N25" s="4">
        <f t="shared" si="2"/>
        <v>1</v>
      </c>
      <c r="O25" s="108">
        <f t="shared" si="3"/>
        <v>20</v>
      </c>
      <c r="P25" s="108">
        <f t="shared" si="4"/>
        <v>0</v>
      </c>
      <c r="Q25" s="108">
        <f t="shared" si="5"/>
        <v>0</v>
      </c>
      <c r="R25" s="108">
        <f t="shared" si="9"/>
        <v>0</v>
      </c>
      <c r="S25" s="108">
        <f t="shared" si="6"/>
        <v>0</v>
      </c>
      <c r="T25" s="108">
        <f t="shared" si="7"/>
        <v>1</v>
      </c>
      <c r="U25" s="108">
        <f t="shared" si="10"/>
        <v>2</v>
      </c>
      <c r="V25" s="108">
        <f t="shared" si="8"/>
        <v>2</v>
      </c>
    </row>
    <row r="26" spans="1:22" ht="57" x14ac:dyDescent="0.2">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Evaluation'!$A$56:$K$346,3,0)&amp;""</f>
        <v>No</v>
      </c>
      <c r="G26" s="4" t="str">
        <f>VLOOKUP($A26,'Institution Evaluation'!$A$56:$K$346,7,0)&amp;""</f>
        <v>Yes</v>
      </c>
      <c r="H26" s="4" t="str">
        <f>VLOOKUP($A26,'Institution Evaluation'!$A$56:$K$346,8,0)&amp;""</f>
        <v/>
      </c>
      <c r="I26" s="4" t="str">
        <f>VLOOKUP($A26,'Institution Evaluation'!$A$56:$K$346,9,0)&amp;""</f>
        <v>Critical Importance</v>
      </c>
      <c r="J26" s="4" t="str">
        <f>VLOOKUP($A26,'Institution Evaluation'!$A$56:$K$346,10,0)&amp;""</f>
        <v/>
      </c>
      <c r="K26" s="4">
        <f t="shared" si="1"/>
        <v>20</v>
      </c>
      <c r="L26" s="108">
        <f>IF($E26="Not Scored", "N/A",IF(AND($D26='Auto Responses'!$J$27,$H26=""),"N/A",IF(AND($D26='Auto Responses'!$J$27,$H26='Auto Responses'!$J$7),1,IF(AND($D26='Auto Responses'!$J$27,$H26='Auto Responses'!$J$8),0,IF(OR($F26=$G26,$H26='Auto Responses'!$J$7),1,0)))))</f>
        <v>0</v>
      </c>
      <c r="M26" s="4" t="str">
        <f>VLOOKUP($A26,'Institution Evaluation'!$A$56:$K$346,10,0)&amp;""</f>
        <v/>
      </c>
      <c r="N26" s="4">
        <f t="shared" si="2"/>
        <v>1</v>
      </c>
      <c r="O26" s="108">
        <f t="shared" si="3"/>
        <v>20</v>
      </c>
      <c r="P26" s="108">
        <f t="shared" si="4"/>
        <v>0</v>
      </c>
      <c r="Q26" s="108">
        <f t="shared" si="5"/>
        <v>0</v>
      </c>
      <c r="R26" s="108">
        <f t="shared" si="9"/>
        <v>0</v>
      </c>
      <c r="S26" s="108">
        <f t="shared" si="6"/>
        <v>0</v>
      </c>
      <c r="T26" s="108">
        <f t="shared" si="7"/>
        <v>1</v>
      </c>
      <c r="U26" s="108">
        <f t="shared" si="10"/>
        <v>3</v>
      </c>
      <c r="V26" s="108">
        <f t="shared" si="8"/>
        <v>3</v>
      </c>
    </row>
    <row r="27" spans="1:22" ht="57" x14ac:dyDescent="0.2">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Evaluation'!$A$56:$K$346,3,0)&amp;""</f>
        <v>No</v>
      </c>
      <c r="G27" s="4" t="str">
        <f>VLOOKUP($A27,'Institution Evaluation'!$A$56:$K$346,7,0)&amp;""</f>
        <v>Yes</v>
      </c>
      <c r="H27" s="4" t="str">
        <f>VLOOKUP($A27,'Institution Evaluation'!$A$56:$K$346,8,0)&amp;""</f>
        <v/>
      </c>
      <c r="I27" s="4" t="str">
        <f>VLOOKUP($A27,'Institution Evaluation'!$A$56:$K$346,9,0)&amp;""</f>
        <v>Standard Importance</v>
      </c>
      <c r="J27" s="4" t="str">
        <f>VLOOKUP($A27,'Institution Evaluation'!$A$56:$K$346,10,0)&amp;""</f>
        <v/>
      </c>
      <c r="K27" s="4">
        <f t="shared" si="1"/>
        <v>10</v>
      </c>
      <c r="L27" s="108">
        <f>IF($E27="Not Scored", "N/A",IF(AND($D27='Auto Responses'!$J$27,$H27=""),"N/A",IF(AND($D27='Auto Responses'!$J$27,$H27='Auto Responses'!$J$7),1,IF(AND($D27='Auto Responses'!$J$27,$H27='Auto Responses'!$J$8),0,IF(OR($F27=$G27,$H27='Auto Responses'!$J$7),1,0)))))</f>
        <v>0</v>
      </c>
      <c r="M27" s="4" t="str">
        <f>VLOOKUP($A27,'Institution Evaluation'!$A$56:$K$346,10,0)&amp;""</f>
        <v/>
      </c>
      <c r="N27" s="4">
        <f t="shared" si="2"/>
        <v>0</v>
      </c>
      <c r="O27" s="108">
        <f t="shared" si="3"/>
        <v>10</v>
      </c>
      <c r="P27" s="108">
        <f t="shared" si="4"/>
        <v>0</v>
      </c>
      <c r="Q27" s="108">
        <f t="shared" si="5"/>
        <v>0</v>
      </c>
      <c r="R27" s="108">
        <f t="shared" si="9"/>
        <v>0</v>
      </c>
      <c r="S27" s="108">
        <f t="shared" si="6"/>
        <v>0</v>
      </c>
      <c r="T27" s="108">
        <f t="shared" si="7"/>
        <v>0</v>
      </c>
      <c r="U27" s="108">
        <f t="shared" si="10"/>
        <v>3</v>
      </c>
      <c r="V27" s="108">
        <f t="shared" si="8"/>
        <v>0</v>
      </c>
    </row>
    <row r="28" spans="1:22" ht="57" x14ac:dyDescent="0.2">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Evaluation'!$A$56:$K$346,3,0)&amp;""</f>
        <v>No</v>
      </c>
      <c r="G28" s="4" t="str">
        <f>VLOOKUP($A28,'Institution Evaluation'!$A$56:$K$346,7,0)&amp;""</f>
        <v>Yes</v>
      </c>
      <c r="H28" s="4" t="str">
        <f>VLOOKUP($A28,'Institution Evaluation'!$A$56:$K$346,8,0)&amp;""</f>
        <v/>
      </c>
      <c r="I28" s="4" t="str">
        <f>VLOOKUP($A28,'Institution Evaluation'!$A$56:$K$346,9,0)&amp;""</f>
        <v>Standard Importance</v>
      </c>
      <c r="J28" s="4" t="str">
        <f>VLOOKUP($A28,'Institution Evaluation'!$A$56:$K$346,10,0)&amp;""</f>
        <v/>
      </c>
      <c r="K28" s="4">
        <f t="shared" si="1"/>
        <v>10</v>
      </c>
      <c r="L28" s="108">
        <f>IF($E28="Not Scored", "N/A",IF(AND($D28='Auto Responses'!$J$27,$H28=""),"N/A",IF(AND($D28='Auto Responses'!$J$27,$H28='Auto Responses'!$J$7),1,IF(AND($D28='Auto Responses'!$J$27,$H28='Auto Responses'!$J$8),0,IF(OR($F28=$G28,$H28='Auto Responses'!$J$7),1,0)))))</f>
        <v>0</v>
      </c>
      <c r="M28" s="4" t="str">
        <f>VLOOKUP($A28,'Institution Evaluation'!$A$56:$K$346,10,0)&amp;""</f>
        <v/>
      </c>
      <c r="N28" s="4">
        <f t="shared" si="2"/>
        <v>0</v>
      </c>
      <c r="O28" s="108">
        <f t="shared" si="3"/>
        <v>10</v>
      </c>
      <c r="P28" s="108">
        <f t="shared" si="4"/>
        <v>0</v>
      </c>
      <c r="Q28" s="108">
        <f t="shared" si="5"/>
        <v>0</v>
      </c>
      <c r="R28" s="108">
        <f t="shared" si="9"/>
        <v>0</v>
      </c>
      <c r="S28" s="108">
        <f t="shared" si="6"/>
        <v>0</v>
      </c>
      <c r="T28" s="108">
        <f t="shared" si="7"/>
        <v>0</v>
      </c>
      <c r="U28" s="108">
        <f t="shared" si="10"/>
        <v>3</v>
      </c>
      <c r="V28" s="108">
        <f t="shared" si="8"/>
        <v>0</v>
      </c>
    </row>
    <row r="29" spans="1:22" ht="57" x14ac:dyDescent="0.2">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Evaluation'!$A$56:$K$346,3,0)&amp;""</f>
        <v>No</v>
      </c>
      <c r="G29" s="4" t="str">
        <f>VLOOKUP($A29,'Institution Evaluation'!$A$56:$K$346,7,0)&amp;""</f>
        <v>Yes</v>
      </c>
      <c r="H29" s="4" t="str">
        <f>VLOOKUP($A29,'Institution Evaluation'!$A$56:$K$346,8,0)&amp;""</f>
        <v/>
      </c>
      <c r="I29" s="4" t="str">
        <f>VLOOKUP($A29,'Institution Evaluation'!$A$56:$K$346,9,0)&amp;""</f>
        <v>Standard Importance</v>
      </c>
      <c r="J29" s="4" t="str">
        <f>VLOOKUP($A29,'Institution Evaluation'!$A$56:$K$346,10,0)&amp;""</f>
        <v/>
      </c>
      <c r="K29" s="4">
        <f t="shared" si="1"/>
        <v>10</v>
      </c>
      <c r="L29" s="108">
        <f>IF($E29="Not Scored", "N/A",IF(AND($D29='Auto Responses'!$J$27,$H29=""),"N/A",IF(AND($D29='Auto Responses'!$J$27,$H29='Auto Responses'!$J$7),1,IF(AND($D29='Auto Responses'!$J$27,$H29='Auto Responses'!$J$8),0,IF(OR($F29=$G29,$H29='Auto Responses'!$J$7),1,0)))))</f>
        <v>0</v>
      </c>
      <c r="M29" s="4" t="str">
        <f>VLOOKUP($A29,'Institution Evaluation'!$A$56:$K$346,10,0)&amp;""</f>
        <v/>
      </c>
      <c r="N29" s="4">
        <f t="shared" si="2"/>
        <v>0</v>
      </c>
      <c r="O29" s="108">
        <f t="shared" si="3"/>
        <v>10</v>
      </c>
      <c r="P29" s="108">
        <f t="shared" si="4"/>
        <v>0</v>
      </c>
      <c r="Q29" s="108">
        <f t="shared" si="5"/>
        <v>0</v>
      </c>
      <c r="R29" s="108">
        <f t="shared" si="9"/>
        <v>0</v>
      </c>
      <c r="S29" s="108">
        <f t="shared" si="6"/>
        <v>0</v>
      </c>
      <c r="T29" s="108">
        <f t="shared" si="7"/>
        <v>0</v>
      </c>
      <c r="U29" s="108">
        <f t="shared" si="10"/>
        <v>3</v>
      </c>
      <c r="V29" s="108">
        <f t="shared" si="8"/>
        <v>0</v>
      </c>
    </row>
    <row r="30" spans="1:22" ht="57" x14ac:dyDescent="0.2">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Evaluation'!$A$56:$K$346,3,0)&amp;""</f>
        <v>Yes</v>
      </c>
      <c r="G30" s="4" t="str">
        <f>VLOOKUP($A30,'Institution Evaluation'!$A$56:$K$346,7,0)&amp;""</f>
        <v>Yes</v>
      </c>
      <c r="H30" s="4" t="str">
        <f>VLOOKUP($A30,'Institution Evaluation'!$A$56:$K$346,8,0)&amp;""</f>
        <v/>
      </c>
      <c r="I30" s="4" t="str">
        <f>VLOOKUP($A30,'Institution Evaluation'!$A$56:$K$346,9,0)&amp;""</f>
        <v>Standard Importance</v>
      </c>
      <c r="J30" s="4" t="str">
        <f>VLOOKUP($A30,'Institution Evaluation'!$A$56:$K$346,10,0)&amp;""</f>
        <v/>
      </c>
      <c r="K30" s="4">
        <f t="shared" si="1"/>
        <v>10</v>
      </c>
      <c r="L30" s="108">
        <f>IF($E30="Not Scored", "N/A",IF(AND($D30='Auto Responses'!$J$27,$H30=""),"N/A",IF(AND($D30='Auto Responses'!$J$27,$H30='Auto Responses'!$J$7),1,IF(AND($D30='Auto Responses'!$J$27,$H30='Auto Responses'!$J$8),0,IF(OR($F30=$G30,$H30='Auto Responses'!$J$7),1,0)))))</f>
        <v>1</v>
      </c>
      <c r="M30" s="4" t="str">
        <f>VLOOKUP($A30,'Institution Evaluation'!$A$56:$K$346,10,0)&amp;""</f>
        <v/>
      </c>
      <c r="N30" s="4">
        <f t="shared" si="2"/>
        <v>0</v>
      </c>
      <c r="O30" s="108">
        <f t="shared" si="3"/>
        <v>10</v>
      </c>
      <c r="P30" s="108">
        <f t="shared" si="4"/>
        <v>10</v>
      </c>
      <c r="Q30" s="108">
        <f t="shared" si="5"/>
        <v>0</v>
      </c>
      <c r="R30" s="108">
        <f t="shared" si="9"/>
        <v>0</v>
      </c>
      <c r="S30" s="108">
        <f t="shared" si="6"/>
        <v>0</v>
      </c>
      <c r="T30" s="108">
        <f t="shared" si="7"/>
        <v>0</v>
      </c>
      <c r="U30" s="108">
        <f t="shared" si="10"/>
        <v>3</v>
      </c>
      <c r="V30" s="108">
        <f t="shared" si="8"/>
        <v>0</v>
      </c>
    </row>
    <row r="31" spans="1:22" ht="57" x14ac:dyDescent="0.2">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Evaluation'!$A$56:$K$346,3,0)&amp;""</f>
        <v>Yes</v>
      </c>
      <c r="G31" s="4" t="str">
        <f>VLOOKUP($A31,'Institution Evaluation'!$A$56:$K$346,7,0)&amp;""</f>
        <v>Yes</v>
      </c>
      <c r="H31" s="4" t="str">
        <f>VLOOKUP($A31,'Institution Evaluation'!$A$56:$K$346,8,0)&amp;""</f>
        <v/>
      </c>
      <c r="I31" s="4" t="str">
        <f>VLOOKUP($A31,'Institution Evaluation'!$A$56:$K$346,9,0)&amp;""</f>
        <v>Standard Importance</v>
      </c>
      <c r="J31" s="4" t="str">
        <f>VLOOKUP($A31,'Institution Evaluation'!$A$56:$K$346,10,0)&amp;""</f>
        <v/>
      </c>
      <c r="K31" s="4">
        <f t="shared" si="1"/>
        <v>10</v>
      </c>
      <c r="L31" s="108">
        <f>IF($E31="Not Scored", "N/A",IF(AND($D31='Auto Responses'!$J$27,$H31=""),"N/A",IF(AND($D31='Auto Responses'!$J$27,$H31='Auto Responses'!$J$7),1,IF(AND($D31='Auto Responses'!$J$27,$H31='Auto Responses'!$J$8),0,IF(OR($F31=$G31,$H31='Auto Responses'!$J$7),1,0)))))</f>
        <v>1</v>
      </c>
      <c r="M31" s="4" t="str">
        <f>VLOOKUP($A31,'Institution Evaluation'!$A$56:$K$346,10,0)&amp;""</f>
        <v/>
      </c>
      <c r="N31" s="4">
        <f t="shared" si="2"/>
        <v>0</v>
      </c>
      <c r="O31" s="108">
        <f t="shared" si="3"/>
        <v>10</v>
      </c>
      <c r="P31" s="108">
        <f t="shared" si="4"/>
        <v>10</v>
      </c>
      <c r="Q31" s="108">
        <f t="shared" si="5"/>
        <v>0</v>
      </c>
      <c r="R31" s="108">
        <f t="shared" si="9"/>
        <v>0</v>
      </c>
      <c r="S31" s="108">
        <f t="shared" si="6"/>
        <v>0</v>
      </c>
      <c r="T31" s="108">
        <f t="shared" si="7"/>
        <v>0</v>
      </c>
      <c r="U31" s="108">
        <f t="shared" si="10"/>
        <v>3</v>
      </c>
      <c r="V31" s="108">
        <f t="shared" si="8"/>
        <v>0</v>
      </c>
    </row>
    <row r="32" spans="1:22" ht="57" x14ac:dyDescent="0.2">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Evaluation'!$A$56:$K$346,3,0)&amp;""</f>
        <v>James Cole</v>
      </c>
      <c r="G32" s="4" t="str">
        <f>VLOOKUP($A32,'Institution Evaluation'!$A$56:$K$346,7,0)&amp;""</f>
        <v>Not scored</v>
      </c>
      <c r="H32" s="4" t="str">
        <f>VLOOKUP($A32,'Institution Evaluation'!$A$56:$K$346,8,0)&amp;""</f>
        <v/>
      </c>
      <c r="I32" s="4" t="str">
        <f>VLOOKUP($A32,'Institution Evaluation'!$A$56:$K$346,9,0)&amp;""</f>
        <v/>
      </c>
      <c r="J32" s="4" t="str">
        <f>VLOOKUP($A32,'Institution Evaluation'!$A$56:$K$346,10,0)&amp;""</f>
        <v/>
      </c>
      <c r="K32" s="4">
        <f t="shared" si="1"/>
        <v>10</v>
      </c>
      <c r="L32" s="108" t="str">
        <f>IF($E32="Not Scored", "N/A",IF(AND($D32='Auto Responses'!$J$27,$H32=""),"N/A",IF(AND($D32='Auto Responses'!$J$27,$H32='Auto Responses'!$J$7),1,IF(AND($D32='Auto Responses'!$J$27,$H32='Auto Responses'!$J$8),0,IF(OR($F32=$G32,$H32='Auto Responses'!$J$7),1,0)))))</f>
        <v>N/A</v>
      </c>
      <c r="M32" s="4" t="str">
        <f>VLOOKUP($A32,'Institution Evaluation'!$A$56:$K$346,10,0)&amp;""</f>
        <v/>
      </c>
      <c r="N32" s="4">
        <f t="shared" si="2"/>
        <v>0</v>
      </c>
      <c r="O32" s="108" t="str">
        <f>IF(OR($F$18="No",$E32="Not Scored"),"N/A",IF($J32="",$K32,IF($J32="Minor Importance",5,IF($J32="Standard Importance",10,IF($J32="Critical Importance",20,0)))))</f>
        <v>N/A</v>
      </c>
      <c r="P32" s="108" t="str">
        <f t="shared" si="4"/>
        <v>N/A</v>
      </c>
      <c r="Q32" s="108">
        <f t="shared" si="5"/>
        <v>0</v>
      </c>
      <c r="R32" s="108">
        <f t="shared" si="9"/>
        <v>0</v>
      </c>
      <c r="S32" s="108">
        <f t="shared" si="6"/>
        <v>0</v>
      </c>
      <c r="T32" s="108">
        <f t="shared" si="7"/>
        <v>0</v>
      </c>
      <c r="U32" s="108">
        <f t="shared" si="10"/>
        <v>3</v>
      </c>
      <c r="V32" s="108">
        <f t="shared" si="8"/>
        <v>0</v>
      </c>
    </row>
    <row r="33" spans="1:22" ht="57" x14ac:dyDescent="0.2">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Evaluation'!$A$56:$K$346,3,0)&amp;""</f>
        <v>NSSE Shorts Coordinator</v>
      </c>
      <c r="G33" s="4" t="str">
        <f>VLOOKUP($A33,'Institution Evaluation'!$A$56:$K$346,7,0)&amp;""</f>
        <v>Not scored</v>
      </c>
      <c r="H33" s="4" t="str">
        <f>VLOOKUP($A33,'Institution Evaluation'!$A$56:$K$346,8,0)&amp;""</f>
        <v/>
      </c>
      <c r="I33" s="4" t="str">
        <f>VLOOKUP($A33,'Institution Evaluation'!$A$56:$K$346,9,0)&amp;""</f>
        <v/>
      </c>
      <c r="J33" s="4" t="str">
        <f>VLOOKUP($A33,'Institution Evaluation'!$A$56:$K$346,10,0)&amp;""</f>
        <v/>
      </c>
      <c r="K33" s="4">
        <f t="shared" si="1"/>
        <v>10</v>
      </c>
      <c r="L33" s="108" t="str">
        <f>IF($E33="Not Scored", "N/A",IF(AND($D33='Auto Responses'!$J$27,$H33=""),"N/A",IF(AND($D33='Auto Responses'!$J$27,$H33='Auto Responses'!$J$7),1,IF(AND($D33='Auto Responses'!$J$27,$H33='Auto Responses'!$J$8),0,IF(OR($F33=$G33,$H33='Auto Responses'!$J$7),1,0)))))</f>
        <v>N/A</v>
      </c>
      <c r="M33" s="4" t="str">
        <f>VLOOKUP($A33,'Institution Evaluation'!$A$56:$K$346,10,0)&amp;""</f>
        <v/>
      </c>
      <c r="N33" s="4">
        <f t="shared" si="2"/>
        <v>0</v>
      </c>
      <c r="O33" s="108" t="str">
        <f t="shared" ref="O33:O49" si="11">IF(OR($F$18="No",$E33="Not Scored"),"N/A",IF($J33="",$K33,IF($J33="Minor Importance",5,IF($J33="Standard Importance",10,IF($J33="Critical Importance",20,0)))))</f>
        <v>N/A</v>
      </c>
      <c r="P33" s="108" t="str">
        <f t="shared" si="4"/>
        <v>N/A</v>
      </c>
      <c r="Q33" s="108">
        <f t="shared" si="5"/>
        <v>0</v>
      </c>
      <c r="R33" s="108">
        <f t="shared" si="9"/>
        <v>0</v>
      </c>
      <c r="S33" s="108">
        <f t="shared" si="6"/>
        <v>0</v>
      </c>
      <c r="T33" s="108">
        <f t="shared" si="7"/>
        <v>0</v>
      </c>
      <c r="U33" s="108">
        <f t="shared" si="10"/>
        <v>3</v>
      </c>
      <c r="V33" s="108">
        <f t="shared" si="8"/>
        <v>0</v>
      </c>
    </row>
    <row r="34" spans="1:22" ht="57" x14ac:dyDescent="0.2">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Evaluation'!$A$56:$K$346,3,0)&amp;""</f>
        <v>nsseshrt@iu.edu</v>
      </c>
      <c r="G34" s="4" t="str">
        <f>VLOOKUP($A34,'Institution Evaluation'!$A$56:$K$346,7,0)&amp;""</f>
        <v>Not scored</v>
      </c>
      <c r="H34" s="4" t="str">
        <f>VLOOKUP($A34,'Institution Evaluation'!$A$56:$K$346,8,0)&amp;""</f>
        <v/>
      </c>
      <c r="I34" s="4" t="str">
        <f>VLOOKUP($A34,'Institution Evaluation'!$A$56:$K$346,9,0)&amp;""</f>
        <v/>
      </c>
      <c r="J34" s="4" t="str">
        <f>VLOOKUP($A34,'Institution Evaluation'!$A$56:$K$346,10,0)&amp;""</f>
        <v/>
      </c>
      <c r="K34" s="4">
        <f t="shared" si="1"/>
        <v>10</v>
      </c>
      <c r="L34" s="108" t="str">
        <f>IF($E34="Not Scored", "N/A",IF(AND($D34='Auto Responses'!$J$27,$H34=""),"N/A",IF(AND($D34='Auto Responses'!$J$27,$H34='Auto Responses'!$J$7),1,IF(AND($D34='Auto Responses'!$J$27,$H34='Auto Responses'!$J$8),0,IF(OR($F34=$G34,$H34='Auto Responses'!$J$7),1,0)))))</f>
        <v>N/A</v>
      </c>
      <c r="M34" s="4" t="str">
        <f>VLOOKUP($A34,'Institution Evaluation'!$A$56:$K$346,10,0)&amp;""</f>
        <v/>
      </c>
      <c r="N34" s="4">
        <f t="shared" si="2"/>
        <v>0</v>
      </c>
      <c r="O34" s="108" t="str">
        <f t="shared" si="11"/>
        <v>N/A</v>
      </c>
      <c r="P34" s="108" t="str">
        <f t="shared" si="4"/>
        <v>N/A</v>
      </c>
      <c r="Q34" s="108">
        <f t="shared" si="5"/>
        <v>0</v>
      </c>
      <c r="R34" s="108">
        <f t="shared" si="9"/>
        <v>0</v>
      </c>
      <c r="S34" s="108">
        <f t="shared" si="6"/>
        <v>0</v>
      </c>
      <c r="T34" s="108">
        <f t="shared" si="7"/>
        <v>0</v>
      </c>
      <c r="U34" s="108">
        <f t="shared" si="10"/>
        <v>3</v>
      </c>
      <c r="V34" s="108">
        <f t="shared" si="8"/>
        <v>0</v>
      </c>
    </row>
    <row r="35" spans="1:22" ht="57" x14ac:dyDescent="0.2">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Evaluation'!$A$56:$K$346,3,0)&amp;""</f>
        <v>812-856-5824</v>
      </c>
      <c r="G35" s="4" t="str">
        <f>VLOOKUP($A35,'Institution Evaluation'!$A$56:$K$346,7,0)&amp;""</f>
        <v>Not scored</v>
      </c>
      <c r="H35" s="4" t="str">
        <f>VLOOKUP($A35,'Institution Evaluation'!$A$56:$K$346,8,0)&amp;""</f>
        <v/>
      </c>
      <c r="I35" s="4" t="str">
        <f>VLOOKUP($A35,'Institution Evaluation'!$A$56:$K$346,9,0)&amp;""</f>
        <v/>
      </c>
      <c r="J35" s="4" t="str">
        <f>VLOOKUP($A35,'Institution Evaluation'!$A$56:$K$346,10,0)&amp;""</f>
        <v/>
      </c>
      <c r="K35" s="4">
        <f t="shared" si="1"/>
        <v>10</v>
      </c>
      <c r="L35" s="108" t="str">
        <f>IF($E35="Not Scored", "N/A",IF(AND($D35='Auto Responses'!$J$27,$H35=""),"N/A",IF(AND($D35='Auto Responses'!$J$27,$H35='Auto Responses'!$J$7),1,IF(AND($D35='Auto Responses'!$J$27,$H35='Auto Responses'!$J$8),0,IF(OR($F35=$G35,$H35='Auto Responses'!$J$7),1,0)))))</f>
        <v>N/A</v>
      </c>
      <c r="M35" s="4" t="str">
        <f>VLOOKUP($A35,'Institution Evaluation'!$A$56:$K$346,10,0)&amp;""</f>
        <v/>
      </c>
      <c r="N35" s="4">
        <f t="shared" si="2"/>
        <v>0</v>
      </c>
      <c r="O35" s="108" t="str">
        <f t="shared" si="11"/>
        <v>N/A</v>
      </c>
      <c r="P35" s="108" t="str">
        <f t="shared" si="4"/>
        <v>N/A</v>
      </c>
      <c r="Q35" s="108">
        <f t="shared" si="5"/>
        <v>0</v>
      </c>
      <c r="R35" s="108">
        <f t="shared" si="9"/>
        <v>0</v>
      </c>
      <c r="S35" s="108">
        <f t="shared" si="6"/>
        <v>0</v>
      </c>
      <c r="T35" s="108">
        <f t="shared" si="7"/>
        <v>0</v>
      </c>
      <c r="U35" s="108">
        <f t="shared" si="10"/>
        <v>3</v>
      </c>
      <c r="V35" s="108">
        <f t="shared" si="8"/>
        <v>0</v>
      </c>
    </row>
    <row r="36" spans="1:22" ht="57" x14ac:dyDescent="0.2">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Evaluation'!$A$56:$K$346,3,0)&amp;""</f>
        <v>https://www.qualtrics.com/commitment-to-accessibility/</v>
      </c>
      <c r="G36" s="4" t="str">
        <f>VLOOKUP($A36,'Institution Evaluation'!$A$56:$K$346,7,0)&amp;""</f>
        <v>Not scored</v>
      </c>
      <c r="H36" s="4" t="str">
        <f>VLOOKUP($A36,'Institution Evaluation'!$A$56:$K$346,8,0)&amp;""</f>
        <v/>
      </c>
      <c r="I36" s="4" t="str">
        <f>VLOOKUP($A36,'Institution Evaluation'!$A$56:$K$346,9,0)&amp;""</f>
        <v/>
      </c>
      <c r="J36" s="4" t="str">
        <f>VLOOKUP($A36,'Institution Evaluation'!$A$56:$K$346,10,0)&amp;""</f>
        <v/>
      </c>
      <c r="K36" s="4">
        <f t="shared" si="1"/>
        <v>10</v>
      </c>
      <c r="L36" s="108" t="str">
        <f>IF($E36="Not Scored", "N/A",IF(AND($D36='Auto Responses'!$J$27,$H36=""),"N/A",IF(AND($D36='Auto Responses'!$J$27,$H36='Auto Responses'!$J$7),1,IF(AND($D36='Auto Responses'!$J$27,$H36='Auto Responses'!$J$8),0,IF(OR($F36=$G36,$H36='Auto Responses'!$J$7),1,0)))))</f>
        <v>N/A</v>
      </c>
      <c r="M36" s="4" t="str">
        <f>VLOOKUP($A36,'Institution Evaluation'!$A$56:$K$346,10,0)&amp;""</f>
        <v/>
      </c>
      <c r="N36" s="4">
        <f t="shared" si="2"/>
        <v>0</v>
      </c>
      <c r="O36" s="108" t="str">
        <f t="shared" si="11"/>
        <v>N/A</v>
      </c>
      <c r="P36" s="108" t="str">
        <f t="shared" si="4"/>
        <v>N/A</v>
      </c>
      <c r="Q36" s="108">
        <f t="shared" si="5"/>
        <v>0</v>
      </c>
      <c r="R36" s="108">
        <f t="shared" si="9"/>
        <v>0</v>
      </c>
      <c r="S36" s="108">
        <f t="shared" si="6"/>
        <v>0</v>
      </c>
      <c r="T36" s="108">
        <f t="shared" si="7"/>
        <v>0</v>
      </c>
      <c r="U36" s="108">
        <f t="shared" si="10"/>
        <v>3</v>
      </c>
      <c r="V36" s="108">
        <f t="shared" si="8"/>
        <v>0</v>
      </c>
    </row>
    <row r="37" spans="1:22" ht="57" x14ac:dyDescent="0.2">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Evaluation'!$A$56:$K$346,3,0)&amp;""</f>
        <v>Yes</v>
      </c>
      <c r="G37" s="4" t="str">
        <f>VLOOKUP($A37,'Institution Evaluation'!$A$56:$K$346,7,0)&amp;""</f>
        <v>Yes</v>
      </c>
      <c r="H37" s="4" t="str">
        <f>VLOOKUP($A37,'Institution Evaluation'!$A$56:$K$346,8,0)&amp;""</f>
        <v/>
      </c>
      <c r="I37" s="4" t="str">
        <f>VLOOKUP($A37,'Institution Evaluation'!$A$56:$K$346,9,0)&amp;""</f>
        <v>Critical Importance</v>
      </c>
      <c r="J37" s="4" t="str">
        <f>VLOOKUP($A37,'Institution Evaluation'!$A$56:$K$346,10,0)&amp;""</f>
        <v/>
      </c>
      <c r="K37" s="4">
        <f t="shared" si="1"/>
        <v>20</v>
      </c>
      <c r="L37" s="108">
        <f>IF($E37="Not Scored", "N/A",IF(AND($D37='Auto Responses'!$J$27,$H37=""),"N/A",IF(AND($D37='Auto Responses'!$J$27,$H37='Auto Responses'!$J$7),1,IF(AND($D37='Auto Responses'!$J$27,$H37='Auto Responses'!$J$8),0,IF(OR($F37=$G37,$H37='Auto Responses'!$J$7),1,0)))))</f>
        <v>1</v>
      </c>
      <c r="M37" s="4" t="str">
        <f>VLOOKUP($A37,'Institution Evaluation'!$A$56:$K$346,10,0)&amp;""</f>
        <v/>
      </c>
      <c r="N37" s="4">
        <f t="shared" si="2"/>
        <v>1</v>
      </c>
      <c r="O37" s="108">
        <f t="shared" si="11"/>
        <v>20</v>
      </c>
      <c r="P37" s="108">
        <f t="shared" si="4"/>
        <v>20</v>
      </c>
      <c r="Q37" s="108">
        <f t="shared" si="5"/>
        <v>0</v>
      </c>
      <c r="R37" s="108">
        <f t="shared" si="9"/>
        <v>0</v>
      </c>
      <c r="S37" s="108">
        <f t="shared" si="6"/>
        <v>0</v>
      </c>
      <c r="T37" s="108">
        <f t="shared" si="7"/>
        <v>1</v>
      </c>
      <c r="U37" s="108">
        <f t="shared" si="10"/>
        <v>4</v>
      </c>
      <c r="V37" s="108">
        <f t="shared" si="8"/>
        <v>4</v>
      </c>
    </row>
    <row r="38" spans="1:22" ht="57" x14ac:dyDescent="0.2">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Evaluation'!$A$56:$K$346,3,0)&amp;""</f>
        <v>No</v>
      </c>
      <c r="G38" s="4" t="str">
        <f>VLOOKUP($A38,'Institution Evaluation'!$A$56:$K$346,7,0)&amp;""</f>
        <v>Yes</v>
      </c>
      <c r="H38" s="4" t="str">
        <f>VLOOKUP($A38,'Institution Evaluation'!$A$56:$K$346,8,0)&amp;""</f>
        <v/>
      </c>
      <c r="I38" s="4" t="str">
        <f>VLOOKUP($A38,'Institution Evaluation'!$A$56:$K$346,9,0)&amp;""</f>
        <v>Critical Importance</v>
      </c>
      <c r="J38" s="4" t="str">
        <f>VLOOKUP($A38,'Institution Evaluation'!$A$56:$K$346,10,0)&amp;""</f>
        <v/>
      </c>
      <c r="K38" s="4">
        <f t="shared" si="1"/>
        <v>20</v>
      </c>
      <c r="L38" s="108">
        <f>IF($E38="Not Scored", "N/A",IF(AND($D38='Auto Responses'!$J$27,$H38=""),"N/A",IF(AND($D38='Auto Responses'!$J$27,$H38='Auto Responses'!$J$7),1,IF(AND($D38='Auto Responses'!$J$27,$H38='Auto Responses'!$J$8),0,IF(OR($F38=$G38,$H38='Auto Responses'!$J$7),1,0)))))</f>
        <v>0</v>
      </c>
      <c r="M38" s="4" t="str">
        <f>VLOOKUP($A38,'Institution Evaluation'!$A$56:$K$346,10,0)&amp;""</f>
        <v/>
      </c>
      <c r="N38" s="4">
        <f t="shared" si="2"/>
        <v>1</v>
      </c>
      <c r="O38" s="108">
        <f t="shared" si="11"/>
        <v>20</v>
      </c>
      <c r="P38" s="108">
        <f t="shared" si="4"/>
        <v>0</v>
      </c>
      <c r="Q38" s="108">
        <f t="shared" si="5"/>
        <v>0</v>
      </c>
      <c r="R38" s="108">
        <f t="shared" si="9"/>
        <v>0</v>
      </c>
      <c r="S38" s="108">
        <f t="shared" si="6"/>
        <v>0</v>
      </c>
      <c r="T38" s="108">
        <f t="shared" si="7"/>
        <v>1</v>
      </c>
      <c r="U38" s="108">
        <f t="shared" si="10"/>
        <v>5</v>
      </c>
      <c r="V38" s="108">
        <f t="shared" si="8"/>
        <v>5</v>
      </c>
    </row>
    <row r="39" spans="1:22" ht="57" x14ac:dyDescent="0.2">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Evaluation'!$A$56:$K$346,3,0)&amp;""</f>
        <v>Yes</v>
      </c>
      <c r="G39" s="4" t="str">
        <f>VLOOKUP($A39,'Institution Evaluation'!$A$56:$K$346,7,0)&amp;""</f>
        <v>Yes</v>
      </c>
      <c r="H39" s="4" t="str">
        <f>VLOOKUP($A39,'Institution Evaluation'!$A$56:$K$346,8,0)&amp;""</f>
        <v/>
      </c>
      <c r="I39" s="4" t="str">
        <f>VLOOKUP($A39,'Institution Evaluation'!$A$56:$K$346,9,0)&amp;""</f>
        <v>Critical Importance</v>
      </c>
      <c r="J39" s="4" t="str">
        <f>VLOOKUP($A39,'Institution Evaluation'!$A$56:$K$346,10,0)&amp;""</f>
        <v/>
      </c>
      <c r="K39" s="4">
        <f t="shared" si="1"/>
        <v>20</v>
      </c>
      <c r="L39" s="108">
        <f>IF($E39="Not Scored", "N/A",IF(AND($D39='Auto Responses'!$J$27,$H39=""),"N/A",IF(AND($D39='Auto Responses'!$J$27,$H39='Auto Responses'!$J$7),1,IF(AND($D39='Auto Responses'!$J$27,$H39='Auto Responses'!$J$8),0,IF(OR($F39=$G39,$H39='Auto Responses'!$J$7),1,0)))))</f>
        <v>1</v>
      </c>
      <c r="M39" s="4" t="str">
        <f>VLOOKUP($A39,'Institution Evaluation'!$A$56:$K$346,10,0)&amp;""</f>
        <v/>
      </c>
      <c r="N39" s="4">
        <f t="shared" si="2"/>
        <v>1</v>
      </c>
      <c r="O39" s="108">
        <f t="shared" si="11"/>
        <v>20</v>
      </c>
      <c r="P39" s="108">
        <f t="shared" si="4"/>
        <v>20</v>
      </c>
      <c r="Q39" s="108">
        <f t="shared" si="5"/>
        <v>0</v>
      </c>
      <c r="R39" s="108">
        <f t="shared" si="9"/>
        <v>0</v>
      </c>
      <c r="S39" s="108">
        <f t="shared" si="6"/>
        <v>0</v>
      </c>
      <c r="T39" s="108">
        <f t="shared" si="7"/>
        <v>1</v>
      </c>
      <c r="U39" s="108">
        <f t="shared" si="10"/>
        <v>6</v>
      </c>
      <c r="V39" s="108">
        <f t="shared" si="8"/>
        <v>6</v>
      </c>
    </row>
    <row r="40" spans="1:22" ht="57" x14ac:dyDescent="0.2">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Evaluation'!$A$56:$K$346,3,0)&amp;""</f>
        <v>Yes</v>
      </c>
      <c r="G40" s="4" t="str">
        <f>VLOOKUP($A40,'Institution Evaluation'!$A$56:$K$346,7,0)&amp;""</f>
        <v>Yes</v>
      </c>
      <c r="H40" s="4" t="str">
        <f>VLOOKUP($A40,'Institution Evaluation'!$A$56:$K$346,8,0)&amp;""</f>
        <v/>
      </c>
      <c r="I40" s="4" t="str">
        <f>VLOOKUP($A40,'Institution Evaluation'!$A$56:$K$346,9,0)&amp;""</f>
        <v>Critical Importance</v>
      </c>
      <c r="J40" s="4" t="str">
        <f>VLOOKUP($A40,'Institution Evaluation'!$A$56:$K$346,10,0)&amp;""</f>
        <v/>
      </c>
      <c r="K40" s="4">
        <f t="shared" si="1"/>
        <v>20</v>
      </c>
      <c r="L40" s="108">
        <f>IF($E40="Not Scored", "N/A",IF(AND($D40='Auto Responses'!$J$27,$H40=""),"N/A",IF(AND($D40='Auto Responses'!$J$27,$H40='Auto Responses'!$J$7),1,IF(AND($D40='Auto Responses'!$J$27,$H40='Auto Responses'!$J$8),0,IF(OR($F40=$G40,$H40='Auto Responses'!$J$7),1,0)))))</f>
        <v>1</v>
      </c>
      <c r="M40" s="4" t="str">
        <f>VLOOKUP($A40,'Institution Evaluation'!$A$56:$K$346,10,0)&amp;""</f>
        <v/>
      </c>
      <c r="N40" s="4">
        <f t="shared" si="2"/>
        <v>1</v>
      </c>
      <c r="O40" s="108">
        <f t="shared" si="11"/>
        <v>20</v>
      </c>
      <c r="P40" s="108">
        <f t="shared" si="4"/>
        <v>20</v>
      </c>
      <c r="Q40" s="108">
        <f t="shared" si="5"/>
        <v>0</v>
      </c>
      <c r="R40" s="108">
        <f t="shared" si="9"/>
        <v>0</v>
      </c>
      <c r="S40" s="108">
        <f t="shared" si="6"/>
        <v>0</v>
      </c>
      <c r="T40" s="108">
        <f t="shared" si="7"/>
        <v>1</v>
      </c>
      <c r="U40" s="108">
        <f t="shared" si="10"/>
        <v>7</v>
      </c>
      <c r="V40" s="108">
        <f t="shared" si="8"/>
        <v>7</v>
      </c>
    </row>
    <row r="41" spans="1:22" ht="57" x14ac:dyDescent="0.2">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Evaluation'!$A$56:$K$346,3,0)&amp;""</f>
        <v>Yes</v>
      </c>
      <c r="G41" s="4" t="str">
        <f>VLOOKUP($A41,'Institution Evaluation'!$A$56:$K$346,7,0)&amp;""</f>
        <v>Yes</v>
      </c>
      <c r="H41" s="4" t="str">
        <f>VLOOKUP($A41,'Institution Evaluation'!$A$56:$K$346,8,0)&amp;""</f>
        <v/>
      </c>
      <c r="I41" s="4" t="str">
        <f>VLOOKUP($A41,'Institution Evaluation'!$A$56:$K$346,9,0)&amp;""</f>
        <v>Standard Importance</v>
      </c>
      <c r="J41" s="4" t="str">
        <f>VLOOKUP($A41,'Institution Evaluation'!$A$56:$K$346,10,0)&amp;""</f>
        <v/>
      </c>
      <c r="K41" s="4">
        <f t="shared" si="1"/>
        <v>10</v>
      </c>
      <c r="L41" s="108">
        <f>IF($E41="Not Scored", "N/A",IF(AND($D41='Auto Responses'!$J$27,$H41=""),"N/A",IF(AND($D41='Auto Responses'!$J$27,$H41='Auto Responses'!$J$7),1,IF(AND($D41='Auto Responses'!$J$27,$H41='Auto Responses'!$J$8),0,IF(OR($F41=$G41,$H41='Auto Responses'!$J$7),1,0)))))</f>
        <v>1</v>
      </c>
      <c r="M41" s="4" t="str">
        <f>VLOOKUP($A41,'Institution Evaluation'!$A$56:$K$346,10,0)&amp;""</f>
        <v/>
      </c>
      <c r="N41" s="4">
        <f t="shared" si="2"/>
        <v>0</v>
      </c>
      <c r="O41" s="108">
        <f t="shared" si="11"/>
        <v>10</v>
      </c>
      <c r="P41" s="108">
        <f t="shared" si="4"/>
        <v>10</v>
      </c>
      <c r="Q41" s="108">
        <f t="shared" si="5"/>
        <v>0</v>
      </c>
      <c r="R41" s="108">
        <f t="shared" si="9"/>
        <v>0</v>
      </c>
      <c r="S41" s="108">
        <f t="shared" si="6"/>
        <v>0</v>
      </c>
      <c r="T41" s="108">
        <f t="shared" si="7"/>
        <v>0</v>
      </c>
      <c r="U41" s="108">
        <f t="shared" si="10"/>
        <v>7</v>
      </c>
      <c r="V41" s="108">
        <f t="shared" si="8"/>
        <v>0</v>
      </c>
    </row>
    <row r="42" spans="1:22" ht="57" x14ac:dyDescent="0.2">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Evaluation'!$A$56:$K$346,3,0)&amp;""</f>
        <v>No</v>
      </c>
      <c r="G42" s="4" t="str">
        <f>VLOOKUP($A42,'Institution Evaluation'!$A$56:$K$346,7,0)&amp;""</f>
        <v>Yes</v>
      </c>
      <c r="H42" s="4" t="str">
        <f>VLOOKUP($A42,'Institution Evaluation'!$A$56:$K$346,8,0)&amp;""</f>
        <v/>
      </c>
      <c r="I42" s="4" t="str">
        <f>VLOOKUP($A42,'Institution Evaluation'!$A$56:$K$346,9,0)&amp;""</f>
        <v>Standard Importance</v>
      </c>
      <c r="J42" s="4" t="str">
        <f>VLOOKUP($A42,'Institution Evaluation'!$A$56:$K$346,10,0)&amp;""</f>
        <v/>
      </c>
      <c r="K42" s="4">
        <f t="shared" si="1"/>
        <v>10</v>
      </c>
      <c r="L42" s="108">
        <f>IF($E42="Not Scored", "N/A",IF(AND($D42='Auto Responses'!$J$27,$H42=""),"N/A",IF(AND($D42='Auto Responses'!$J$27,$H42='Auto Responses'!$J$7),1,IF(AND($D42='Auto Responses'!$J$27,$H42='Auto Responses'!$J$8),0,IF(OR($F42=$G42,$H42='Auto Responses'!$J$7),1,0)))))</f>
        <v>0</v>
      </c>
      <c r="M42" s="4" t="str">
        <f>VLOOKUP($A42,'Institution Evaluation'!$A$56:$K$346,10,0)&amp;""</f>
        <v/>
      </c>
      <c r="N42" s="4">
        <f t="shared" si="2"/>
        <v>0</v>
      </c>
      <c r="O42" s="108">
        <f t="shared" si="11"/>
        <v>10</v>
      </c>
      <c r="P42" s="108">
        <f t="shared" si="4"/>
        <v>0</v>
      </c>
      <c r="Q42" s="108">
        <f t="shared" si="5"/>
        <v>0</v>
      </c>
      <c r="R42" s="108">
        <f t="shared" si="9"/>
        <v>0</v>
      </c>
      <c r="S42" s="108">
        <f t="shared" si="6"/>
        <v>0</v>
      </c>
      <c r="T42" s="108">
        <f t="shared" si="7"/>
        <v>0</v>
      </c>
      <c r="U42" s="108">
        <f t="shared" si="10"/>
        <v>7</v>
      </c>
      <c r="V42" s="108">
        <f t="shared" si="8"/>
        <v>0</v>
      </c>
    </row>
    <row r="43" spans="1:22" ht="57" x14ac:dyDescent="0.2">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Evaluation'!$A$56:$K$346,3,0)&amp;""</f>
        <v>Yes</v>
      </c>
      <c r="G43" s="4" t="str">
        <f>VLOOKUP($A43,'Institution Evaluation'!$A$56:$K$346,7,0)&amp;""</f>
        <v>Yes</v>
      </c>
      <c r="H43" s="4" t="str">
        <f>VLOOKUP($A43,'Institution Evaluation'!$A$56:$K$346,8,0)&amp;""</f>
        <v/>
      </c>
      <c r="I43" s="4" t="str">
        <f>VLOOKUP($A43,'Institution Evaluation'!$A$56:$K$346,9,0)&amp;""</f>
        <v>Standard Importance</v>
      </c>
      <c r="J43" s="4" t="str">
        <f>VLOOKUP($A43,'Institution Evaluation'!$A$56:$K$346,10,0)&amp;""</f>
        <v/>
      </c>
      <c r="K43" s="4">
        <f t="shared" si="1"/>
        <v>10</v>
      </c>
      <c r="L43" s="108">
        <f>IF($E43="Not Scored", "N/A",IF(AND($D43='Auto Responses'!$J$27,$H43=""),"N/A",IF(AND($D43='Auto Responses'!$J$27,$H43='Auto Responses'!$J$7),1,IF(AND($D43='Auto Responses'!$J$27,$H43='Auto Responses'!$J$8),0,IF(OR($F43=$G43,$H43='Auto Responses'!$J$7),1,0)))))</f>
        <v>1</v>
      </c>
      <c r="M43" s="4" t="str">
        <f>VLOOKUP($A43,'Institution Evaluation'!$A$56:$K$346,10,0)&amp;""</f>
        <v/>
      </c>
      <c r="N43" s="4">
        <f t="shared" si="2"/>
        <v>0</v>
      </c>
      <c r="O43" s="108">
        <f t="shared" si="11"/>
        <v>10</v>
      </c>
      <c r="P43" s="108">
        <f t="shared" si="4"/>
        <v>10</v>
      </c>
      <c r="Q43" s="108">
        <f t="shared" si="5"/>
        <v>0</v>
      </c>
      <c r="R43" s="108">
        <f t="shared" si="9"/>
        <v>0</v>
      </c>
      <c r="S43" s="108">
        <f t="shared" si="6"/>
        <v>0</v>
      </c>
      <c r="T43" s="108">
        <f t="shared" si="7"/>
        <v>0</v>
      </c>
      <c r="U43" s="108">
        <f t="shared" si="10"/>
        <v>7</v>
      </c>
      <c r="V43" s="108">
        <f t="shared" si="8"/>
        <v>0</v>
      </c>
    </row>
    <row r="44" spans="1:22" ht="57" x14ac:dyDescent="0.2">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Evaluation'!$A$56:$K$346,3,0)&amp;""</f>
        <v>No</v>
      </c>
      <c r="G44" s="4" t="str">
        <f>VLOOKUP($A44,'Institution Evaluation'!$A$56:$K$346,7,0)&amp;""</f>
        <v>Yes</v>
      </c>
      <c r="H44" s="4" t="str">
        <f>VLOOKUP($A44,'Institution Evaluation'!$A$56:$K$346,8,0)&amp;""</f>
        <v/>
      </c>
      <c r="I44" s="4" t="str">
        <f>VLOOKUP($A44,'Institution Evaluation'!$A$56:$K$346,9,0)&amp;""</f>
        <v>Standard Importance</v>
      </c>
      <c r="J44" s="4" t="str">
        <f>VLOOKUP($A44,'Institution Evaluation'!$A$56:$K$346,10,0)&amp;""</f>
        <v/>
      </c>
      <c r="K44" s="4">
        <f t="shared" si="1"/>
        <v>10</v>
      </c>
      <c r="L44" s="108">
        <f>IF($E44="Not Scored", "N/A",IF(AND($D44='Auto Responses'!$J$27,$H44=""),"N/A",IF(AND($D44='Auto Responses'!$J$27,$H44='Auto Responses'!$J$7),1,IF(AND($D44='Auto Responses'!$J$27,$H44='Auto Responses'!$J$8),0,IF(OR($F44=$G44,$H44='Auto Responses'!$J$7),1,0)))))</f>
        <v>0</v>
      </c>
      <c r="M44" s="4" t="str">
        <f>VLOOKUP($A44,'Institution Evaluation'!$A$56:$K$346,10,0)&amp;""</f>
        <v/>
      </c>
      <c r="N44" s="4">
        <f t="shared" si="2"/>
        <v>0</v>
      </c>
      <c r="O44" s="108">
        <f t="shared" si="11"/>
        <v>10</v>
      </c>
      <c r="P44" s="108">
        <f t="shared" si="4"/>
        <v>0</v>
      </c>
      <c r="Q44" s="108">
        <f t="shared" si="5"/>
        <v>0</v>
      </c>
      <c r="R44" s="108">
        <f t="shared" si="9"/>
        <v>0</v>
      </c>
      <c r="S44" s="108">
        <f t="shared" si="6"/>
        <v>0</v>
      </c>
      <c r="T44" s="108">
        <f t="shared" si="7"/>
        <v>0</v>
      </c>
      <c r="U44" s="108">
        <f t="shared" si="10"/>
        <v>7</v>
      </c>
      <c r="V44" s="108">
        <f t="shared" si="8"/>
        <v>0</v>
      </c>
    </row>
    <row r="45" spans="1:22" ht="57" x14ac:dyDescent="0.2">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Evaluation'!$A$56:$K$346,3,0)&amp;""</f>
        <v>No</v>
      </c>
      <c r="G45" s="4" t="str">
        <f>VLOOKUP($A45,'Institution Evaluation'!$A$56:$K$346,7,0)&amp;""</f>
        <v>Yes</v>
      </c>
      <c r="H45" s="4" t="str">
        <f>VLOOKUP($A45,'Institution Evaluation'!$A$56:$K$346,8,0)&amp;""</f>
        <v/>
      </c>
      <c r="I45" s="4" t="str">
        <f>VLOOKUP($A45,'Institution Evaluation'!$A$56:$K$346,9,0)&amp;""</f>
        <v>Standard Importance</v>
      </c>
      <c r="J45" s="4" t="str">
        <f>VLOOKUP($A45,'Institution Evaluation'!$A$56:$K$346,10,0)&amp;""</f>
        <v/>
      </c>
      <c r="K45" s="4">
        <f t="shared" si="1"/>
        <v>10</v>
      </c>
      <c r="L45" s="108">
        <f>IF($E45="Not Scored", "N/A",IF(AND($D45='Auto Responses'!$J$27,$H45=""),"N/A",IF(AND($D45='Auto Responses'!$J$27,$H45='Auto Responses'!$J$7),1,IF(AND($D45='Auto Responses'!$J$27,$H45='Auto Responses'!$J$8),0,IF(OR($F45=$G45,$H45='Auto Responses'!$J$7),1,0)))))</f>
        <v>0</v>
      </c>
      <c r="M45" s="4" t="str">
        <f>VLOOKUP($A45,'Institution Evaluation'!$A$56:$K$346,10,0)&amp;""</f>
        <v/>
      </c>
      <c r="N45" s="4">
        <f t="shared" si="2"/>
        <v>0</v>
      </c>
      <c r="O45" s="108">
        <f t="shared" si="11"/>
        <v>10</v>
      </c>
      <c r="P45" s="108">
        <f t="shared" si="4"/>
        <v>0</v>
      </c>
      <c r="Q45" s="108">
        <f t="shared" si="5"/>
        <v>0</v>
      </c>
      <c r="R45" s="108">
        <f t="shared" si="9"/>
        <v>0</v>
      </c>
      <c r="S45" s="108">
        <f t="shared" si="6"/>
        <v>0</v>
      </c>
      <c r="T45" s="108">
        <f t="shared" si="7"/>
        <v>0</v>
      </c>
      <c r="U45" s="108">
        <f t="shared" si="10"/>
        <v>7</v>
      </c>
      <c r="V45" s="108">
        <f t="shared" si="8"/>
        <v>0</v>
      </c>
    </row>
    <row r="46" spans="1:22" ht="57" x14ac:dyDescent="0.2">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Evaluation'!$A$56:$K$346,3,0)&amp;""</f>
        <v>No</v>
      </c>
      <c r="G46" s="4" t="str">
        <f>VLOOKUP($A46,'Institution Evaluation'!$A$56:$K$346,7,0)&amp;""</f>
        <v>Yes</v>
      </c>
      <c r="H46" s="4" t="str">
        <f>VLOOKUP($A46,'Institution Evaluation'!$A$56:$K$346,8,0)&amp;""</f>
        <v/>
      </c>
      <c r="I46" s="4" t="str">
        <f>VLOOKUP($A46,'Institution Evaluation'!$A$56:$K$346,9,0)&amp;""</f>
        <v>Standard Importance</v>
      </c>
      <c r="J46" s="4" t="str">
        <f>VLOOKUP($A46,'Institution Evaluation'!$A$56:$K$346,10,0)&amp;""</f>
        <v/>
      </c>
      <c r="K46" s="4">
        <f t="shared" si="1"/>
        <v>10</v>
      </c>
      <c r="L46" s="108">
        <f>IF($E46="Not Scored", "N/A",IF(AND($D46='Auto Responses'!$J$27,$H46=""),"N/A",IF(AND($D46='Auto Responses'!$J$27,$H46='Auto Responses'!$J$7),1,IF(AND($D46='Auto Responses'!$J$27,$H46='Auto Responses'!$J$8),0,IF(OR($F46=$G46,$H46='Auto Responses'!$J$7),1,0)))))</f>
        <v>0</v>
      </c>
      <c r="M46" s="4" t="str">
        <f>VLOOKUP($A46,'Institution Evaluation'!$A$56:$K$346,10,0)&amp;""</f>
        <v/>
      </c>
      <c r="N46" s="4">
        <f t="shared" si="2"/>
        <v>0</v>
      </c>
      <c r="O46" s="108">
        <f t="shared" si="11"/>
        <v>10</v>
      </c>
      <c r="P46" s="108">
        <f t="shared" si="4"/>
        <v>0</v>
      </c>
      <c r="Q46" s="108">
        <f t="shared" si="5"/>
        <v>0</v>
      </c>
      <c r="R46" s="108">
        <f t="shared" si="9"/>
        <v>0</v>
      </c>
      <c r="S46" s="108">
        <f t="shared" si="6"/>
        <v>0</v>
      </c>
      <c r="T46" s="108">
        <f t="shared" si="7"/>
        <v>0</v>
      </c>
      <c r="U46" s="108">
        <f t="shared" si="10"/>
        <v>7</v>
      </c>
      <c r="V46" s="108">
        <f t="shared" si="8"/>
        <v>0</v>
      </c>
    </row>
    <row r="47" spans="1:22" ht="57" x14ac:dyDescent="0.2">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Evaluation'!$A$56:$K$346,3,0)&amp;""</f>
        <v>Yes</v>
      </c>
      <c r="G47" s="4" t="str">
        <f>VLOOKUP($A47,'Institution Evaluation'!$A$56:$K$346,7,0)&amp;""</f>
        <v>Yes</v>
      </c>
      <c r="H47" s="4" t="str">
        <f>VLOOKUP($A47,'Institution Evaluation'!$A$56:$K$346,8,0)&amp;""</f>
        <v/>
      </c>
      <c r="I47" s="4" t="str">
        <f>VLOOKUP($A47,'Institution Evaluation'!$A$56:$K$346,9,0)&amp;""</f>
        <v>Standard Importance</v>
      </c>
      <c r="J47" s="4" t="str">
        <f>VLOOKUP($A47,'Institution Evaluation'!$A$56:$K$346,10,0)&amp;""</f>
        <v/>
      </c>
      <c r="K47" s="4">
        <f t="shared" si="1"/>
        <v>10</v>
      </c>
      <c r="L47" s="108">
        <f>IF($E47="Not Scored", "N/A",IF(AND($D47='Auto Responses'!$J$27,$H47=""),"N/A",IF(AND($D47='Auto Responses'!$J$27,$H47='Auto Responses'!$J$7),1,IF(AND($D47='Auto Responses'!$J$27,$H47='Auto Responses'!$J$8),0,IF(OR($F47=$G47,$H47='Auto Responses'!$J$7),1,0)))))</f>
        <v>1</v>
      </c>
      <c r="M47" s="4" t="str">
        <f>VLOOKUP($A47,'Institution Evaluation'!$A$56:$K$346,10,0)&amp;""</f>
        <v/>
      </c>
      <c r="N47" s="4">
        <f t="shared" si="2"/>
        <v>0</v>
      </c>
      <c r="O47" s="108">
        <f t="shared" si="11"/>
        <v>10</v>
      </c>
      <c r="P47" s="108">
        <f t="shared" si="4"/>
        <v>10</v>
      </c>
      <c r="Q47" s="108">
        <f t="shared" si="5"/>
        <v>0</v>
      </c>
      <c r="R47" s="108">
        <f t="shared" si="9"/>
        <v>0</v>
      </c>
      <c r="S47" s="108">
        <f t="shared" si="6"/>
        <v>0</v>
      </c>
      <c r="T47" s="108">
        <f t="shared" si="7"/>
        <v>0</v>
      </c>
      <c r="U47" s="108">
        <f t="shared" si="10"/>
        <v>7</v>
      </c>
      <c r="V47" s="108">
        <f t="shared" si="8"/>
        <v>0</v>
      </c>
    </row>
    <row r="48" spans="1:22" ht="57" x14ac:dyDescent="0.2">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Evaluation'!$A$56:$K$346,3,0)&amp;""</f>
        <v>No</v>
      </c>
      <c r="G48" s="4" t="str">
        <f>VLOOKUP($A48,'Institution Evaluation'!$A$56:$K$346,7,0)&amp;""</f>
        <v>Yes</v>
      </c>
      <c r="H48" s="4" t="str">
        <f>VLOOKUP($A48,'Institution Evaluation'!$A$56:$K$346,8,0)&amp;""</f>
        <v/>
      </c>
      <c r="I48" s="4" t="str">
        <f>VLOOKUP($A48,'Institution Evaluation'!$A$56:$K$346,9,0)&amp;""</f>
        <v>Standard Importance</v>
      </c>
      <c r="J48" s="4" t="str">
        <f>VLOOKUP($A48,'Institution Evaluation'!$A$56:$K$346,10,0)&amp;""</f>
        <v/>
      </c>
      <c r="K48" s="4">
        <f t="shared" si="1"/>
        <v>10</v>
      </c>
      <c r="L48" s="108">
        <f>IF($E48="Not Scored", "N/A",IF(AND($D48='Auto Responses'!$J$27,$H48=""),"N/A",IF(AND($D48='Auto Responses'!$J$27,$H48='Auto Responses'!$J$7),1,IF(AND($D48='Auto Responses'!$J$27,$H48='Auto Responses'!$J$8),0,IF(OR($F48=$G48,$H48='Auto Responses'!$J$7),1,0)))))</f>
        <v>0</v>
      </c>
      <c r="M48" s="4" t="str">
        <f>VLOOKUP($A48,'Institution Evaluation'!$A$56:$K$346,10,0)&amp;""</f>
        <v/>
      </c>
      <c r="N48" s="4">
        <f t="shared" si="2"/>
        <v>0</v>
      </c>
      <c r="O48" s="108">
        <f t="shared" si="11"/>
        <v>10</v>
      </c>
      <c r="P48" s="108">
        <f t="shared" si="4"/>
        <v>0</v>
      </c>
      <c r="Q48" s="108">
        <f t="shared" si="5"/>
        <v>0</v>
      </c>
      <c r="R48" s="108">
        <f t="shared" si="9"/>
        <v>0</v>
      </c>
      <c r="S48" s="108">
        <f t="shared" si="6"/>
        <v>0</v>
      </c>
      <c r="T48" s="108">
        <f t="shared" si="7"/>
        <v>0</v>
      </c>
      <c r="U48" s="108">
        <f t="shared" si="10"/>
        <v>7</v>
      </c>
      <c r="V48" s="108">
        <f t="shared" si="8"/>
        <v>0</v>
      </c>
    </row>
    <row r="49" spans="1:22" ht="57" x14ac:dyDescent="0.2">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Evaluation'!$A$56:$K$346,3,0)&amp;""</f>
        <v>No</v>
      </c>
      <c r="G49" s="4" t="str">
        <f>VLOOKUP($A49,'Institution Evaluation'!$A$56:$K$346,7,0)&amp;""</f>
        <v>No</v>
      </c>
      <c r="H49" s="4" t="str">
        <f>VLOOKUP($A49,'Institution Evaluation'!$A$56:$K$346,8,0)&amp;""</f>
        <v/>
      </c>
      <c r="I49" s="4" t="str">
        <f>VLOOKUP($A49,'Institution Evaluation'!$A$56:$K$346,9,0)&amp;""</f>
        <v>Standard Importance</v>
      </c>
      <c r="J49" s="4" t="str">
        <f>VLOOKUP($A49,'Institution Evaluation'!$A$56:$K$346,10,0)&amp;""</f>
        <v/>
      </c>
      <c r="K49" s="4">
        <f t="shared" si="1"/>
        <v>10</v>
      </c>
      <c r="L49" s="108">
        <f>IF($E49="Not Scored", "N/A",IF(AND($D49='Auto Responses'!$J$27,$H49=""),"N/A",IF(AND($D49='Auto Responses'!$J$27,$H49='Auto Responses'!$J$7),1,IF(AND($D49='Auto Responses'!$J$27,$H49='Auto Responses'!$J$8),0,IF(OR($F49=$G49,$H49='Auto Responses'!$J$7),1,0)))))</f>
        <v>1</v>
      </c>
      <c r="M49" s="4" t="str">
        <f>VLOOKUP($A49,'Institution Evaluation'!$A$56:$K$346,10,0)&amp;""</f>
        <v/>
      </c>
      <c r="N49" s="4">
        <f t="shared" si="2"/>
        <v>0</v>
      </c>
      <c r="O49" s="108">
        <f t="shared" si="11"/>
        <v>10</v>
      </c>
      <c r="P49" s="108">
        <f t="shared" si="4"/>
        <v>10</v>
      </c>
      <c r="Q49" s="108">
        <f t="shared" si="5"/>
        <v>0</v>
      </c>
      <c r="R49" s="108">
        <f t="shared" si="9"/>
        <v>0</v>
      </c>
      <c r="S49" s="108">
        <f t="shared" si="6"/>
        <v>0</v>
      </c>
      <c r="T49" s="108">
        <f t="shared" si="7"/>
        <v>0</v>
      </c>
      <c r="U49" s="108">
        <f t="shared" si="10"/>
        <v>7</v>
      </c>
      <c r="V49" s="108">
        <f t="shared" si="8"/>
        <v>0</v>
      </c>
    </row>
    <row r="50" spans="1:22" ht="57" x14ac:dyDescent="0.2">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Evaluation'!$A$56:$K$346,3,0)&amp;""</f>
        <v>No</v>
      </c>
      <c r="G50" s="4" t="str">
        <f>VLOOKUP($A50,'Institution Evaluation'!$A$56:$K$346,7,0)&amp;""</f>
        <v>Yes</v>
      </c>
      <c r="H50" s="4" t="str">
        <f>VLOOKUP($A50,'Institution Evaluation'!$A$56:$K$346,8,0)&amp;""</f>
        <v/>
      </c>
      <c r="I50" s="4" t="str">
        <f>VLOOKUP($A50,'Institution Evaluation'!$A$56:$K$346,9,0)&amp;""</f>
        <v>Critical Importance</v>
      </c>
      <c r="J50" s="4" t="str">
        <f>VLOOKUP($A50,'Institution Evaluation'!$A$56:$K$346,10,0)&amp;""</f>
        <v/>
      </c>
      <c r="K50" s="4">
        <f t="shared" si="1"/>
        <v>20</v>
      </c>
      <c r="L50" s="108">
        <f>IF($E50="Not Scored", "N/A",IF(AND($D50='Auto Responses'!$J$27,$H50=""),"N/A",IF(AND($D50='Auto Responses'!$J$27,$H50='Auto Responses'!$J$7),1,IF(AND($D50='Auto Responses'!$J$27,$H50='Auto Responses'!$J$8),0,IF(OR($F50=$G50,$H50='Auto Responses'!$J$7),1,0)))))</f>
        <v>0</v>
      </c>
      <c r="M50" s="4" t="str">
        <f>VLOOKUP($A50,'Institution Evaluation'!$A$56:$K$346,10,0)&amp;""</f>
        <v/>
      </c>
      <c r="N50" s="4">
        <f t="shared" si="2"/>
        <v>1</v>
      </c>
      <c r="O50" s="108">
        <f t="shared" si="3"/>
        <v>20</v>
      </c>
      <c r="P50" s="108">
        <f t="shared" si="4"/>
        <v>0</v>
      </c>
      <c r="Q50" s="108">
        <f t="shared" si="5"/>
        <v>0</v>
      </c>
      <c r="R50" s="108">
        <f t="shared" si="9"/>
        <v>0</v>
      </c>
      <c r="S50" s="108">
        <f t="shared" si="6"/>
        <v>0</v>
      </c>
      <c r="T50" s="108">
        <f t="shared" si="7"/>
        <v>1</v>
      </c>
      <c r="U50" s="108">
        <f t="shared" si="10"/>
        <v>8</v>
      </c>
      <c r="V50" s="108">
        <f t="shared" si="8"/>
        <v>8</v>
      </c>
    </row>
    <row r="51" spans="1:22" ht="57" x14ac:dyDescent="0.2">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Evaluation'!$A$56:$K$346,3,0)&amp;""</f>
        <v>No</v>
      </c>
      <c r="G51" s="4" t="str">
        <f>VLOOKUP($A51,'Institution Evaluation'!$A$56:$K$346,7,0)&amp;""</f>
        <v>Yes</v>
      </c>
      <c r="H51" s="4" t="str">
        <f>VLOOKUP($A51,'Institution Evaluation'!$A$56:$K$346,8,0)&amp;""</f>
        <v/>
      </c>
      <c r="I51" s="4" t="str">
        <f>VLOOKUP($A51,'Institution Evaluation'!$A$56:$K$346,9,0)&amp;""</f>
        <v>Critical Importance</v>
      </c>
      <c r="J51" s="4" t="str">
        <f>VLOOKUP($A51,'Institution Evaluation'!$A$56:$K$346,10,0)&amp;""</f>
        <v/>
      </c>
      <c r="K51" s="4">
        <f t="shared" si="1"/>
        <v>20</v>
      </c>
      <c r="L51" s="108">
        <f>IF($E51="Not Scored", "N/A",IF(AND($D51='Auto Responses'!$J$27,$H51=""),"N/A",IF(AND($D51='Auto Responses'!$J$27,$H51='Auto Responses'!$J$7),1,IF(AND($D51='Auto Responses'!$J$27,$H51='Auto Responses'!$J$8),0,IF(OR($F51=$G51,$H51='Auto Responses'!$J$7),1,0)))))</f>
        <v>0</v>
      </c>
      <c r="M51" s="4" t="str">
        <f>VLOOKUP($A51,'Institution Evaluation'!$A$56:$K$346,10,0)&amp;""</f>
        <v/>
      </c>
      <c r="N51" s="4">
        <f t="shared" si="2"/>
        <v>1</v>
      </c>
      <c r="O51" s="108">
        <f t="shared" si="3"/>
        <v>20</v>
      </c>
      <c r="P51" s="108">
        <f t="shared" si="4"/>
        <v>0</v>
      </c>
      <c r="Q51" s="108">
        <f t="shared" si="5"/>
        <v>0</v>
      </c>
      <c r="R51" s="108">
        <f t="shared" si="9"/>
        <v>0</v>
      </c>
      <c r="S51" s="108">
        <f t="shared" si="6"/>
        <v>0</v>
      </c>
      <c r="T51" s="108">
        <f t="shared" si="7"/>
        <v>1</v>
      </c>
      <c r="U51" s="108">
        <f t="shared" si="10"/>
        <v>9</v>
      </c>
      <c r="V51" s="108">
        <f t="shared" si="8"/>
        <v>9</v>
      </c>
    </row>
    <row r="52" spans="1:22" ht="57" x14ac:dyDescent="0.2">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Evaluation'!$A$56:$K$346,3,0)&amp;""</f>
        <v>No</v>
      </c>
      <c r="G52" s="4" t="str">
        <f>VLOOKUP($A52,'Institution Evaluation'!$A$56:$K$346,7,0)&amp;""</f>
        <v>Yes</v>
      </c>
      <c r="H52" s="4" t="str">
        <f>VLOOKUP($A52,'Institution Evaluation'!$A$56:$K$346,8,0)&amp;""</f>
        <v/>
      </c>
      <c r="I52" s="4" t="str">
        <f>VLOOKUP($A52,'Institution Evaluation'!$A$56:$K$346,9,0)&amp;""</f>
        <v>Critical Importance</v>
      </c>
      <c r="J52" s="4" t="str">
        <f>VLOOKUP($A52,'Institution Evaluation'!$A$56:$K$346,10,0)&amp;""</f>
        <v/>
      </c>
      <c r="K52" s="4">
        <f t="shared" si="1"/>
        <v>20</v>
      </c>
      <c r="L52" s="108">
        <f>IF($E52="Not Scored", "N/A",IF(AND($D52='Auto Responses'!$J$27,$H52=""),"N/A",IF(AND($D52='Auto Responses'!$J$27,$H52='Auto Responses'!$J$7),1,IF(AND($D52='Auto Responses'!$J$27,$H52='Auto Responses'!$J$8),0,IF(OR($F52=$G52,$H52='Auto Responses'!$J$7),1,0)))))</f>
        <v>0</v>
      </c>
      <c r="M52" s="4" t="str">
        <f>VLOOKUP($A52,'Institution Evaluation'!$A$56:$K$346,10,0)&amp;""</f>
        <v/>
      </c>
      <c r="N52" s="4">
        <f t="shared" si="2"/>
        <v>1</v>
      </c>
      <c r="O52" s="108">
        <f t="shared" si="3"/>
        <v>20</v>
      </c>
      <c r="P52" s="108">
        <f t="shared" si="4"/>
        <v>0</v>
      </c>
      <c r="Q52" s="108">
        <f t="shared" si="5"/>
        <v>0</v>
      </c>
      <c r="R52" s="108">
        <f t="shared" si="9"/>
        <v>0</v>
      </c>
      <c r="S52" s="108">
        <f t="shared" si="6"/>
        <v>0</v>
      </c>
      <c r="T52" s="108">
        <f t="shared" si="7"/>
        <v>1</v>
      </c>
      <c r="U52" s="108">
        <f t="shared" si="10"/>
        <v>10</v>
      </c>
      <c r="V52" s="108">
        <f t="shared" si="8"/>
        <v>10</v>
      </c>
    </row>
    <row r="53" spans="1:22" ht="57" x14ac:dyDescent="0.2">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Evaluation'!$A$56:$K$346,3,0)&amp;""</f>
        <v>No</v>
      </c>
      <c r="G53" s="4" t="str">
        <f>VLOOKUP($A53,'Institution Evaluation'!$A$56:$K$346,7,0)&amp;""</f>
        <v>Yes</v>
      </c>
      <c r="H53" s="4" t="str">
        <f>VLOOKUP($A53,'Institution Evaluation'!$A$56:$K$346,8,0)&amp;""</f>
        <v/>
      </c>
      <c r="I53" s="4" t="str">
        <f>VLOOKUP($A53,'Institution Evaluation'!$A$56:$K$346,9,0)&amp;""</f>
        <v>Critical Importance</v>
      </c>
      <c r="J53" s="4" t="str">
        <f>VLOOKUP($A53,'Institution Evaluation'!$A$56:$K$346,10,0)&amp;""</f>
        <v/>
      </c>
      <c r="K53" s="4">
        <f t="shared" si="1"/>
        <v>20</v>
      </c>
      <c r="L53" s="108">
        <f>IF($E53="Not Scored", "N/A",IF(AND($D53='Auto Responses'!$J$27,$H53=""),"N/A",IF(AND($D53='Auto Responses'!$J$27,$H53='Auto Responses'!$J$7),1,IF(AND($D53='Auto Responses'!$J$27,$H53='Auto Responses'!$J$8),0,IF(OR($F53=$G53,$H53='Auto Responses'!$J$7),1,0)))))</f>
        <v>0</v>
      </c>
      <c r="M53" s="4" t="str">
        <f>VLOOKUP($A53,'Institution Evaluation'!$A$56:$K$346,10,0)&amp;""</f>
        <v/>
      </c>
      <c r="N53" s="4">
        <f t="shared" si="2"/>
        <v>1</v>
      </c>
      <c r="O53" s="108">
        <f t="shared" si="3"/>
        <v>20</v>
      </c>
      <c r="P53" s="108">
        <f t="shared" si="4"/>
        <v>0</v>
      </c>
      <c r="Q53" s="108">
        <f t="shared" si="5"/>
        <v>0</v>
      </c>
      <c r="R53" s="108">
        <f t="shared" si="9"/>
        <v>0</v>
      </c>
      <c r="S53" s="108">
        <f t="shared" si="6"/>
        <v>0</v>
      </c>
      <c r="T53" s="108">
        <f t="shared" si="7"/>
        <v>1</v>
      </c>
      <c r="U53" s="108">
        <f t="shared" si="10"/>
        <v>11</v>
      </c>
      <c r="V53" s="108">
        <f t="shared" si="8"/>
        <v>11</v>
      </c>
    </row>
    <row r="54" spans="1:22" ht="57" x14ac:dyDescent="0.2">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Evaluation'!$A$56:$K$346,3,0)&amp;""</f>
        <v>No</v>
      </c>
      <c r="G54" s="4" t="str">
        <f>VLOOKUP($A54,'Institution Evaluation'!$A$56:$K$346,7,0)&amp;""</f>
        <v>Yes</v>
      </c>
      <c r="H54" s="4" t="str">
        <f>VLOOKUP($A54,'Institution Evaluation'!$A$56:$K$346,8,0)&amp;""</f>
        <v/>
      </c>
      <c r="I54" s="4" t="str">
        <f>VLOOKUP($A54,'Institution Evaluation'!$A$56:$K$346,9,0)&amp;""</f>
        <v>Standard Importance</v>
      </c>
      <c r="J54" s="4" t="str">
        <f>VLOOKUP($A54,'Institution Evaluation'!$A$56:$K$346,10,0)&amp;""</f>
        <v/>
      </c>
      <c r="K54" s="4">
        <f t="shared" si="1"/>
        <v>10</v>
      </c>
      <c r="L54" s="108">
        <f>IF($E54="Not Scored", "N/A",IF(AND($D54='Auto Responses'!$J$27,$H54=""),"N/A",IF(AND($D54='Auto Responses'!$J$27,$H54='Auto Responses'!$J$7),1,IF(AND($D54='Auto Responses'!$J$27,$H54='Auto Responses'!$J$8),0,IF(OR($F54=$G54,$H54='Auto Responses'!$J$7),1,0)))))</f>
        <v>0</v>
      </c>
      <c r="M54" s="4" t="str">
        <f>VLOOKUP($A54,'Institution Evaluation'!$A$56:$K$346,10,0)&amp;""</f>
        <v/>
      </c>
      <c r="N54" s="4">
        <f t="shared" si="2"/>
        <v>0</v>
      </c>
      <c r="O54" s="108">
        <f t="shared" si="3"/>
        <v>10</v>
      </c>
      <c r="P54" s="108">
        <f t="shared" si="4"/>
        <v>0</v>
      </c>
      <c r="Q54" s="108">
        <f t="shared" si="5"/>
        <v>0</v>
      </c>
      <c r="R54" s="108">
        <f t="shared" si="9"/>
        <v>0</v>
      </c>
      <c r="S54" s="108">
        <f t="shared" si="6"/>
        <v>0</v>
      </c>
      <c r="T54" s="108">
        <f t="shared" si="7"/>
        <v>0</v>
      </c>
      <c r="U54" s="108">
        <f t="shared" si="10"/>
        <v>11</v>
      </c>
      <c r="V54" s="108">
        <f t="shared" si="8"/>
        <v>0</v>
      </c>
    </row>
    <row r="55" spans="1:22" ht="57" x14ac:dyDescent="0.2">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Evaluation'!$A$56:$K$346,3,0)&amp;""</f>
        <v/>
      </c>
      <c r="G55" s="4" t="str">
        <f>VLOOKUP($A55,'Institution Evaluation'!$A$56:$K$346,7,0)&amp;""</f>
        <v>No</v>
      </c>
      <c r="H55" s="4" t="str">
        <f>VLOOKUP($A55,'Institution Evaluation'!$A$56:$K$346,8,0)&amp;""</f>
        <v/>
      </c>
      <c r="I55" s="4" t="str">
        <f>VLOOKUP($A55,'Institution Evaluation'!$A$56:$K$346,9,0)&amp;""</f>
        <v>Critical Importance</v>
      </c>
      <c r="J55" s="4" t="str">
        <f>VLOOKUP($A55,'Institution Evaluation'!$A$56:$K$346,10,0)&amp;""</f>
        <v/>
      </c>
      <c r="K55" s="4">
        <f t="shared" si="1"/>
        <v>20</v>
      </c>
      <c r="L55" s="108">
        <f>IF($E55="Not Scored", "N/A",IF(AND($D55='Auto Responses'!$J$27,$H55=""),"N/A",IF(AND($D55='Auto Responses'!$J$27,$H55='Auto Responses'!$J$7),1,IF(AND($D55='Auto Responses'!$J$27,$H55='Auto Responses'!$J$8),0,IF(OR($F55=$G55,$H55='Auto Responses'!$J$7),1,0)))))</f>
        <v>0</v>
      </c>
      <c r="M55" s="4" t="str">
        <f>VLOOKUP($A55,'Institution Evaluation'!$A$56:$K$346,10,0)&amp;""</f>
        <v/>
      </c>
      <c r="N55" s="4">
        <f t="shared" si="2"/>
        <v>1</v>
      </c>
      <c r="O55" s="108" t="str">
        <f>IF(OR($F$19="No",$E55="Not Scored"),"N/A",IF($J55="",$K55,IF($J55="Minor Importance",5,IF($J55="Standard Importance",10,IF($J55="Critical Importance",20,0)))))</f>
        <v>N/A</v>
      </c>
      <c r="P55" s="108" t="str">
        <f t="shared" si="4"/>
        <v>N/A</v>
      </c>
      <c r="Q55" s="108">
        <f t="shared" si="5"/>
        <v>0</v>
      </c>
      <c r="R55" s="108">
        <f t="shared" si="9"/>
        <v>0</v>
      </c>
      <c r="S55" s="108">
        <f t="shared" si="6"/>
        <v>0</v>
      </c>
      <c r="T55" s="108">
        <f t="shared" si="7"/>
        <v>1</v>
      </c>
      <c r="U55" s="108">
        <f t="shared" si="10"/>
        <v>12</v>
      </c>
      <c r="V55" s="108">
        <f t="shared" si="8"/>
        <v>12</v>
      </c>
    </row>
    <row r="56" spans="1:22" ht="57" x14ac:dyDescent="0.2">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Evaluation'!$A$56:$K$346,3,0)&amp;""</f>
        <v/>
      </c>
      <c r="G56" s="4" t="str">
        <f>VLOOKUP($A56,'Institution Evaluation'!$A$56:$K$346,7,0)&amp;""</f>
        <v>Yes</v>
      </c>
      <c r="H56" s="4" t="str">
        <f>VLOOKUP($A56,'Institution Evaluation'!$A$56:$K$346,8,0)&amp;""</f>
        <v/>
      </c>
      <c r="I56" s="4" t="str">
        <f>VLOOKUP($A56,'Institution Evaluation'!$A$56:$K$346,9,0)&amp;""</f>
        <v>Critical Importance</v>
      </c>
      <c r="J56" s="4" t="str">
        <f>VLOOKUP($A56,'Institution Evaluation'!$A$56:$K$346,10,0)&amp;""</f>
        <v/>
      </c>
      <c r="K56" s="4">
        <f t="shared" si="1"/>
        <v>20</v>
      </c>
      <c r="L56" s="108">
        <f>IF($E56="Not Scored", "N/A",IF(AND($D56='Auto Responses'!$J$27,$H56=""),"N/A",IF(AND($D56='Auto Responses'!$J$27,$H56='Auto Responses'!$J$7),1,IF(AND($D56='Auto Responses'!$J$27,$H56='Auto Responses'!$J$8),0,IF(OR($F56=$G56,$H56='Auto Responses'!$J$7),1,0)))))</f>
        <v>0</v>
      </c>
      <c r="M56" s="4" t="str">
        <f>VLOOKUP($A56,'Institution Evaluation'!$A$56:$K$346,10,0)&amp;""</f>
        <v/>
      </c>
      <c r="N56" s="4">
        <f t="shared" si="2"/>
        <v>1</v>
      </c>
      <c r="O56" s="108" t="str">
        <f t="shared" ref="O56:O63" si="12">IF(OR($F$19="No",$E56="Not Scored"),"N/A",IF($J56="",$K56,IF($J56="Minor Importance",5,IF($J56="Standard Importance",10,IF($J56="Critical Importance",20,0)))))</f>
        <v>N/A</v>
      </c>
      <c r="P56" s="108" t="str">
        <f t="shared" si="4"/>
        <v>N/A</v>
      </c>
      <c r="Q56" s="108">
        <f t="shared" si="5"/>
        <v>0</v>
      </c>
      <c r="R56" s="108">
        <f t="shared" si="9"/>
        <v>0</v>
      </c>
      <c r="S56" s="108">
        <f t="shared" si="6"/>
        <v>0</v>
      </c>
      <c r="T56" s="108">
        <f t="shared" si="7"/>
        <v>1</v>
      </c>
      <c r="U56" s="108">
        <f t="shared" si="10"/>
        <v>13</v>
      </c>
      <c r="V56" s="108">
        <f t="shared" si="8"/>
        <v>13</v>
      </c>
    </row>
    <row r="57" spans="1:22" ht="57" x14ac:dyDescent="0.2">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Evaluation'!$A$56:$K$346,3,0)&amp;""</f>
        <v/>
      </c>
      <c r="G57" s="4" t="str">
        <f>VLOOKUP($A57,'Institution Evaluation'!$A$56:$K$346,7,0)&amp;""</f>
        <v>Yes</v>
      </c>
      <c r="H57" s="4" t="str">
        <f>VLOOKUP($A57,'Institution Evaluation'!$A$56:$K$346,8,0)&amp;""</f>
        <v/>
      </c>
      <c r="I57" s="4" t="str">
        <f>VLOOKUP($A57,'Institution Evaluation'!$A$56:$K$346,9,0)&amp;""</f>
        <v>Critical Importance</v>
      </c>
      <c r="J57" s="4" t="str">
        <f>VLOOKUP($A57,'Institution Evaluation'!$A$56:$K$346,10,0)&amp;""</f>
        <v/>
      </c>
      <c r="K57" s="4">
        <f t="shared" si="1"/>
        <v>20</v>
      </c>
      <c r="L57" s="108">
        <f>IF($E57="Not Scored", "N/A",IF(AND($D57='Auto Responses'!$J$27,$H57=""),"N/A",IF(AND($D57='Auto Responses'!$J$27,$H57='Auto Responses'!$J$7),1,IF(AND($D57='Auto Responses'!$J$27,$H57='Auto Responses'!$J$8),0,IF(OR($F57=$G57,$H57='Auto Responses'!$J$7),1,0)))))</f>
        <v>0</v>
      </c>
      <c r="M57" s="4" t="str">
        <f>VLOOKUP($A57,'Institution Evaluation'!$A$56:$K$346,10,0)&amp;""</f>
        <v/>
      </c>
      <c r="N57" s="4">
        <f t="shared" si="2"/>
        <v>1</v>
      </c>
      <c r="O57" s="108" t="str">
        <f t="shared" si="12"/>
        <v>N/A</v>
      </c>
      <c r="P57" s="108" t="str">
        <f t="shared" si="4"/>
        <v>N/A</v>
      </c>
      <c r="Q57" s="108">
        <f t="shared" si="5"/>
        <v>0</v>
      </c>
      <c r="R57" s="108">
        <f t="shared" si="9"/>
        <v>0</v>
      </c>
      <c r="S57" s="108">
        <f t="shared" si="6"/>
        <v>0</v>
      </c>
      <c r="T57" s="108">
        <f t="shared" si="7"/>
        <v>1</v>
      </c>
      <c r="U57" s="108">
        <f t="shared" si="10"/>
        <v>14</v>
      </c>
      <c r="V57" s="108">
        <f t="shared" si="8"/>
        <v>14</v>
      </c>
    </row>
    <row r="58" spans="1:22" ht="57" x14ac:dyDescent="0.2">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Evaluation'!$A$56:$K$346,3,0)&amp;""</f>
        <v/>
      </c>
      <c r="G58" s="4" t="str">
        <f>VLOOKUP($A58,'Institution Evaluation'!$A$56:$K$346,7,0)&amp;""</f>
        <v>Yes</v>
      </c>
      <c r="H58" s="4" t="str">
        <f>VLOOKUP($A58,'Institution Evaluation'!$A$56:$K$346,8,0)&amp;""</f>
        <v/>
      </c>
      <c r="I58" s="4" t="str">
        <f>VLOOKUP($A58,'Institution Evaluation'!$A$56:$K$346,9,0)&amp;""</f>
        <v>Critical Importance</v>
      </c>
      <c r="J58" s="4" t="str">
        <f>VLOOKUP($A58,'Institution Evaluation'!$A$56:$K$346,10,0)&amp;""</f>
        <v/>
      </c>
      <c r="K58" s="4">
        <f t="shared" si="1"/>
        <v>20</v>
      </c>
      <c r="L58" s="108">
        <f>IF($E58="Not Scored", "N/A",IF(AND($D58='Auto Responses'!$J$27,$H58=""),"N/A",IF(AND($D58='Auto Responses'!$J$27,$H58='Auto Responses'!$J$7),1,IF(AND($D58='Auto Responses'!$J$27,$H58='Auto Responses'!$J$8),0,IF(OR($F58=$G58,$H58='Auto Responses'!$J$7),1,0)))))</f>
        <v>0</v>
      </c>
      <c r="M58" s="4" t="str">
        <f>VLOOKUP($A58,'Institution Evaluation'!$A$56:$K$346,10,0)&amp;""</f>
        <v/>
      </c>
      <c r="N58" s="4">
        <f t="shared" si="2"/>
        <v>1</v>
      </c>
      <c r="O58" s="108" t="str">
        <f t="shared" si="12"/>
        <v>N/A</v>
      </c>
      <c r="P58" s="108" t="str">
        <f t="shared" si="4"/>
        <v>N/A</v>
      </c>
      <c r="Q58" s="108">
        <f t="shared" si="5"/>
        <v>0</v>
      </c>
      <c r="R58" s="108">
        <f t="shared" si="9"/>
        <v>0</v>
      </c>
      <c r="S58" s="108">
        <f t="shared" si="6"/>
        <v>0</v>
      </c>
      <c r="T58" s="108">
        <f t="shared" si="7"/>
        <v>1</v>
      </c>
      <c r="U58" s="108">
        <f t="shared" si="10"/>
        <v>15</v>
      </c>
      <c r="V58" s="108">
        <f t="shared" si="8"/>
        <v>15</v>
      </c>
    </row>
    <row r="59" spans="1:22" ht="57" x14ac:dyDescent="0.2">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Evaluation'!$A$56:$K$346,3,0)&amp;""</f>
        <v/>
      </c>
      <c r="G59" s="4" t="str">
        <f>VLOOKUP($A59,'Institution Evaluation'!$A$56:$K$346,7,0)&amp;""</f>
        <v>No</v>
      </c>
      <c r="H59" s="4" t="str">
        <f>VLOOKUP($A59,'Institution Evaluation'!$A$56:$K$346,8,0)&amp;""</f>
        <v/>
      </c>
      <c r="I59" s="4" t="str">
        <f>VLOOKUP($A59,'Institution Evaluation'!$A$56:$K$346,9,0)&amp;""</f>
        <v>Standard Importance</v>
      </c>
      <c r="J59" s="4" t="str">
        <f>VLOOKUP($A59,'Institution Evaluation'!$A$56:$K$346,10,0)&amp;""</f>
        <v/>
      </c>
      <c r="K59" s="4">
        <f t="shared" si="1"/>
        <v>10</v>
      </c>
      <c r="L59" s="108">
        <f>IF($E59="Not Scored", "N/A",IF(AND($D59='Auto Responses'!$J$27,$H59=""),"N/A",IF(AND($D59='Auto Responses'!$J$27,$H59='Auto Responses'!$J$7),1,IF(AND($D59='Auto Responses'!$J$27,$H59='Auto Responses'!$J$8),0,IF(OR($F59=$G59,$H59='Auto Responses'!$J$7),1,0)))))</f>
        <v>0</v>
      </c>
      <c r="M59" s="4" t="str">
        <f>VLOOKUP($A59,'Institution Evaluation'!$A$56:$K$346,10,0)&amp;""</f>
        <v/>
      </c>
      <c r="N59" s="4">
        <f t="shared" si="2"/>
        <v>0</v>
      </c>
      <c r="O59" s="108" t="str">
        <f t="shared" si="12"/>
        <v>N/A</v>
      </c>
      <c r="P59" s="108" t="str">
        <f t="shared" si="4"/>
        <v>N/A</v>
      </c>
      <c r="Q59" s="108">
        <f t="shared" si="5"/>
        <v>0</v>
      </c>
      <c r="R59" s="108">
        <f t="shared" si="9"/>
        <v>0</v>
      </c>
      <c r="S59" s="108">
        <f t="shared" si="6"/>
        <v>0</v>
      </c>
      <c r="T59" s="108">
        <f t="shared" si="7"/>
        <v>0</v>
      </c>
      <c r="U59" s="108">
        <f t="shared" si="10"/>
        <v>15</v>
      </c>
      <c r="V59" s="108">
        <f t="shared" si="8"/>
        <v>0</v>
      </c>
    </row>
    <row r="60" spans="1:22" ht="57" x14ac:dyDescent="0.2">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Evaluation'!$A$56:$K$346,3,0)&amp;""</f>
        <v/>
      </c>
      <c r="G60" s="4" t="str">
        <f>VLOOKUP($A60,'Institution Evaluation'!$A$56:$K$346,7,0)&amp;""</f>
        <v>No</v>
      </c>
      <c r="H60" s="4" t="str">
        <f>VLOOKUP($A60,'Institution Evaluation'!$A$56:$K$346,8,0)&amp;""</f>
        <v/>
      </c>
      <c r="I60" s="4" t="str">
        <f>VLOOKUP($A60,'Institution Evaluation'!$A$56:$K$346,9,0)&amp;""</f>
        <v>Standard Importance</v>
      </c>
      <c r="J60" s="4" t="str">
        <f>VLOOKUP($A60,'Institution Evaluation'!$A$56:$K$346,10,0)&amp;""</f>
        <v/>
      </c>
      <c r="K60" s="4">
        <f t="shared" si="1"/>
        <v>10</v>
      </c>
      <c r="L60" s="108">
        <f>IF($E60="Not Scored", "N/A",IF(AND($D60='Auto Responses'!$J$27,$H60=""),"N/A",IF(AND($D60='Auto Responses'!$J$27,$H60='Auto Responses'!$J$7),1,IF(AND($D60='Auto Responses'!$J$27,$H60='Auto Responses'!$J$8),0,IF(OR($F60=$G60,$H60='Auto Responses'!$J$7),1,0)))))</f>
        <v>0</v>
      </c>
      <c r="M60" s="4" t="str">
        <f>VLOOKUP($A60,'Institution Evaluation'!$A$56:$K$346,10,0)&amp;""</f>
        <v/>
      </c>
      <c r="N60" s="4">
        <f t="shared" si="2"/>
        <v>0</v>
      </c>
      <c r="O60" s="108" t="str">
        <f t="shared" si="12"/>
        <v>N/A</v>
      </c>
      <c r="P60" s="108" t="str">
        <f t="shared" si="4"/>
        <v>N/A</v>
      </c>
      <c r="Q60" s="108">
        <f t="shared" si="5"/>
        <v>0</v>
      </c>
      <c r="R60" s="108">
        <f t="shared" si="9"/>
        <v>0</v>
      </c>
      <c r="S60" s="108">
        <f t="shared" si="6"/>
        <v>0</v>
      </c>
      <c r="T60" s="108">
        <f t="shared" si="7"/>
        <v>0</v>
      </c>
      <c r="U60" s="108">
        <f t="shared" si="10"/>
        <v>15</v>
      </c>
      <c r="V60" s="108">
        <f t="shared" si="8"/>
        <v>0</v>
      </c>
    </row>
    <row r="61" spans="1:22" ht="57" x14ac:dyDescent="0.2">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Evaluation'!$A$56:$K$346,3,0)&amp;""</f>
        <v/>
      </c>
      <c r="G61" s="4" t="str">
        <f>VLOOKUP($A61,'Institution Evaluation'!$A$56:$K$346,7,0)&amp;""</f>
        <v>No</v>
      </c>
      <c r="H61" s="4" t="str">
        <f>VLOOKUP($A61,'Institution Evaluation'!$A$56:$K$346,8,0)&amp;""</f>
        <v/>
      </c>
      <c r="I61" s="4" t="str">
        <f>VLOOKUP($A61,'Institution Evaluation'!$A$56:$K$346,9,0)&amp;""</f>
        <v>Standard Importance</v>
      </c>
      <c r="J61" s="4" t="str">
        <f>VLOOKUP($A61,'Institution Evaluation'!$A$56:$K$346,10,0)&amp;""</f>
        <v/>
      </c>
      <c r="K61" s="4">
        <f t="shared" si="1"/>
        <v>10</v>
      </c>
      <c r="L61" s="108">
        <f>IF($E61="Not Scored", "N/A",IF(AND($D61='Auto Responses'!$J$27,$H61=""),"N/A",IF(AND($D61='Auto Responses'!$J$27,$H61='Auto Responses'!$J$7),1,IF(AND($D61='Auto Responses'!$J$27,$H61='Auto Responses'!$J$8),0,IF(OR($F61=$G61,$H61='Auto Responses'!$J$7),1,0)))))</f>
        <v>0</v>
      </c>
      <c r="M61" s="4" t="str">
        <f>VLOOKUP($A61,'Institution Evaluation'!$A$56:$K$346,10,0)&amp;""</f>
        <v/>
      </c>
      <c r="N61" s="4">
        <f t="shared" si="2"/>
        <v>0</v>
      </c>
      <c r="O61" s="108" t="str">
        <f t="shared" si="12"/>
        <v>N/A</v>
      </c>
      <c r="P61" s="108" t="str">
        <f t="shared" si="4"/>
        <v>N/A</v>
      </c>
      <c r="Q61" s="108">
        <f t="shared" si="5"/>
        <v>0</v>
      </c>
      <c r="R61" s="108">
        <f t="shared" si="9"/>
        <v>0</v>
      </c>
      <c r="S61" s="108">
        <f t="shared" si="6"/>
        <v>0</v>
      </c>
      <c r="T61" s="108">
        <f t="shared" si="7"/>
        <v>0</v>
      </c>
      <c r="U61" s="108">
        <f t="shared" si="10"/>
        <v>15</v>
      </c>
      <c r="V61" s="108">
        <f t="shared" si="8"/>
        <v>0</v>
      </c>
    </row>
    <row r="62" spans="1:22" ht="57" x14ac:dyDescent="0.2">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Evaluation'!$A$56:$K$346,3,0)&amp;""</f>
        <v/>
      </c>
      <c r="G62" s="4" t="str">
        <f>VLOOKUP($A62,'Institution Evaluation'!$A$56:$K$346,7,0)&amp;""</f>
        <v>No</v>
      </c>
      <c r="H62" s="4" t="str">
        <f>VLOOKUP($A62,'Institution Evaluation'!$A$56:$K$346,8,0)&amp;""</f>
        <v/>
      </c>
      <c r="I62" s="4" t="str">
        <f>VLOOKUP($A62,'Institution Evaluation'!$A$56:$K$346,9,0)&amp;""</f>
        <v>Standard Importance</v>
      </c>
      <c r="J62" s="4" t="str">
        <f>VLOOKUP($A62,'Institution Evaluation'!$A$56:$K$346,10,0)&amp;""</f>
        <v/>
      </c>
      <c r="K62" s="4">
        <f t="shared" si="1"/>
        <v>10</v>
      </c>
      <c r="L62" s="108">
        <f>IF($E62="Not Scored", "N/A",IF(AND($D62='Auto Responses'!$J$27,$H62=""),"N/A",IF(AND($D62='Auto Responses'!$J$27,$H62='Auto Responses'!$J$7),1,IF(AND($D62='Auto Responses'!$J$27,$H62='Auto Responses'!$J$8),0,IF(OR($F62=$G62,$H62='Auto Responses'!$J$7),1,0)))))</f>
        <v>0</v>
      </c>
      <c r="M62" s="4" t="str">
        <f>VLOOKUP($A62,'Institution Evaluation'!$A$56:$K$346,10,0)&amp;""</f>
        <v/>
      </c>
      <c r="N62" s="4">
        <f t="shared" si="2"/>
        <v>0</v>
      </c>
      <c r="O62" s="108" t="str">
        <f t="shared" si="12"/>
        <v>N/A</v>
      </c>
      <c r="P62" s="108" t="str">
        <f t="shared" si="4"/>
        <v>N/A</v>
      </c>
      <c r="Q62" s="108">
        <f t="shared" si="5"/>
        <v>0</v>
      </c>
      <c r="R62" s="108">
        <f t="shared" si="9"/>
        <v>0</v>
      </c>
      <c r="S62" s="108">
        <f t="shared" si="6"/>
        <v>0</v>
      </c>
      <c r="T62" s="108">
        <f t="shared" si="7"/>
        <v>0</v>
      </c>
      <c r="U62" s="108">
        <f t="shared" si="10"/>
        <v>15</v>
      </c>
      <c r="V62" s="108">
        <f t="shared" si="8"/>
        <v>0</v>
      </c>
    </row>
    <row r="63" spans="1:22" ht="57" x14ac:dyDescent="0.2">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Evaluation'!$A$56:$K$346,3,0)&amp;""</f>
        <v/>
      </c>
      <c r="G63" s="4" t="str">
        <f>VLOOKUP($A63,'Institution Evaluation'!$A$56:$K$346,7,0)&amp;""</f>
        <v>No</v>
      </c>
      <c r="H63" s="4" t="str">
        <f>VLOOKUP($A63,'Institution Evaluation'!$A$56:$K$346,8,0)&amp;""</f>
        <v/>
      </c>
      <c r="I63" s="4" t="str">
        <f>VLOOKUP($A63,'Institution Evaluation'!$A$56:$K$346,9,0)&amp;""</f>
        <v>Standard Importance</v>
      </c>
      <c r="J63" s="4" t="str">
        <f>VLOOKUP($A63,'Institution Evaluation'!$A$56:$K$346,10,0)&amp;""</f>
        <v/>
      </c>
      <c r="K63" s="4">
        <f t="shared" si="1"/>
        <v>10</v>
      </c>
      <c r="L63" s="108">
        <f>IF($E63="Not Scored", "N/A",IF(AND($D63='Auto Responses'!$J$27,$H63=""),"N/A",IF(AND($D63='Auto Responses'!$J$27,$H63='Auto Responses'!$J$7),1,IF(AND($D63='Auto Responses'!$J$27,$H63='Auto Responses'!$J$8),0,IF(OR($F63=$G63,$H63='Auto Responses'!$J$7),1,0)))))</f>
        <v>0</v>
      </c>
      <c r="M63" s="4" t="str">
        <f>VLOOKUP($A63,'Institution Evaluation'!$A$56:$K$346,10,0)&amp;""</f>
        <v/>
      </c>
      <c r="N63" s="4">
        <f t="shared" si="2"/>
        <v>0</v>
      </c>
      <c r="O63" s="108" t="str">
        <f t="shared" si="12"/>
        <v>N/A</v>
      </c>
      <c r="P63" s="108" t="str">
        <f t="shared" si="4"/>
        <v>N/A</v>
      </c>
      <c r="Q63" s="108">
        <f t="shared" si="5"/>
        <v>0</v>
      </c>
      <c r="R63" s="108">
        <f t="shared" si="9"/>
        <v>0</v>
      </c>
      <c r="S63" s="108">
        <f t="shared" si="6"/>
        <v>0</v>
      </c>
      <c r="T63" s="108">
        <f t="shared" si="7"/>
        <v>0</v>
      </c>
      <c r="U63" s="108">
        <f t="shared" si="10"/>
        <v>15</v>
      </c>
      <c r="V63" s="108">
        <f t="shared" si="8"/>
        <v>0</v>
      </c>
    </row>
    <row r="64" spans="1:22" ht="57" x14ac:dyDescent="0.2">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Evaluation'!$A$56:$K$346,3,0)&amp;""</f>
        <v>Yes</v>
      </c>
      <c r="G64" s="4" t="str">
        <f>VLOOKUP($A64,'Institution Evaluation'!$A$56:$K$346,7,0)&amp;""</f>
        <v>Yes</v>
      </c>
      <c r="H64" s="4" t="str">
        <f>VLOOKUP($A64,'Institution Evaluation'!$A$56:$K$346,8,0)&amp;""</f>
        <v/>
      </c>
      <c r="I64" s="4" t="str">
        <f>VLOOKUP($A64,'Institution Evaluation'!$A$56:$K$346,9,0)&amp;""</f>
        <v>Critical Importance</v>
      </c>
      <c r="J64" s="4" t="str">
        <f>VLOOKUP($A64,'Institution Evaluation'!$A$56:$K$346,10,0)&amp;""</f>
        <v/>
      </c>
      <c r="K64" s="4">
        <f t="shared" si="1"/>
        <v>20</v>
      </c>
      <c r="L64" s="108">
        <f>IF($E64="Not Scored", "N/A",IF(AND($D64='Auto Responses'!$J$27,$H64=""),"N/A",IF(AND($D64='Auto Responses'!$J$27,$H64='Auto Responses'!$J$7),1,IF(AND($D64='Auto Responses'!$J$27,$H64='Auto Responses'!$J$8),0,IF(OR($F64=$G64,$H64='Auto Responses'!$J$7),1,0)))))</f>
        <v>1</v>
      </c>
      <c r="M64" s="4" t="str">
        <f>VLOOKUP($A64,'Institution Evaluation'!$A$56:$K$346,10,0)&amp;""</f>
        <v/>
      </c>
      <c r="N64" s="4">
        <f t="shared" si="2"/>
        <v>1</v>
      </c>
      <c r="O64" s="108">
        <f>IF(OR($F$17="No",$E64="Not Scored"),"N/A",IF($J64="",$K64,IF($J64="Minor Importance",5,IF($J64="Standard Importance",10,IF($J64="Critical Importance",20,0)))))</f>
        <v>20</v>
      </c>
      <c r="P64" s="108">
        <f t="shared" si="4"/>
        <v>20</v>
      </c>
      <c r="Q64" s="108">
        <f t="shared" si="5"/>
        <v>0</v>
      </c>
      <c r="R64" s="108">
        <f t="shared" si="9"/>
        <v>0</v>
      </c>
      <c r="S64" s="108">
        <f t="shared" si="6"/>
        <v>0</v>
      </c>
      <c r="T64" s="108">
        <f t="shared" si="7"/>
        <v>1</v>
      </c>
      <c r="U64" s="108">
        <f t="shared" si="10"/>
        <v>16</v>
      </c>
      <c r="V64" s="108">
        <f t="shared" si="8"/>
        <v>16</v>
      </c>
    </row>
    <row r="65" spans="1:22" ht="57" x14ac:dyDescent="0.2">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Evaluation'!$A$56:$K$346,3,0)&amp;""</f>
        <v>Yes</v>
      </c>
      <c r="G65" s="4" t="str">
        <f>VLOOKUP($A65,'Institution Evaluation'!$A$56:$K$346,7,0)&amp;""</f>
        <v>Yes</v>
      </c>
      <c r="H65" s="4" t="str">
        <f>VLOOKUP($A65,'Institution Evaluation'!$A$56:$K$346,8,0)&amp;""</f>
        <v/>
      </c>
      <c r="I65" s="4" t="str">
        <f>VLOOKUP($A65,'Institution Evaluation'!$A$56:$K$346,9,0)&amp;""</f>
        <v>Critical Importance</v>
      </c>
      <c r="J65" s="4" t="str">
        <f>VLOOKUP($A65,'Institution Evaluation'!$A$56:$K$346,10,0)&amp;""</f>
        <v/>
      </c>
      <c r="K65" s="4">
        <f t="shared" si="1"/>
        <v>20</v>
      </c>
      <c r="L65" s="108">
        <f>IF($E65="Not Scored", "N/A",IF(AND($D65='Auto Responses'!$J$27,$H65=""),"N/A",IF(AND($D65='Auto Responses'!$J$27,$H65='Auto Responses'!$J$7),1,IF(AND($D65='Auto Responses'!$J$27,$H65='Auto Responses'!$J$8),0,IF(OR($F65=$G65,$H65='Auto Responses'!$J$7),1,0)))))</f>
        <v>1</v>
      </c>
      <c r="M65" s="4" t="str">
        <f>VLOOKUP($A65,'Institution Evaluation'!$A$56:$K$346,10,0)&amp;""</f>
        <v/>
      </c>
      <c r="N65" s="4">
        <f t="shared" si="2"/>
        <v>1</v>
      </c>
      <c r="O65" s="108">
        <f t="shared" ref="O65:O77" si="13">IF(OR($F$17="No",$E65="Not Scored"),"N/A",IF($J65="",$K65,IF($J65="Minor Importance",5,IF($J65="Standard Importance",10,IF($J65="Critical Importance",20,0)))))</f>
        <v>20</v>
      </c>
      <c r="P65" s="108">
        <f t="shared" si="4"/>
        <v>20</v>
      </c>
      <c r="Q65" s="108">
        <f t="shared" si="5"/>
        <v>0</v>
      </c>
      <c r="R65" s="108">
        <f t="shared" si="9"/>
        <v>0</v>
      </c>
      <c r="S65" s="108">
        <f t="shared" si="6"/>
        <v>0</v>
      </c>
      <c r="T65" s="108">
        <f t="shared" si="7"/>
        <v>1</v>
      </c>
      <c r="U65" s="108">
        <f t="shared" si="10"/>
        <v>17</v>
      </c>
      <c r="V65" s="108">
        <f t="shared" si="8"/>
        <v>17</v>
      </c>
    </row>
    <row r="66" spans="1:22" ht="57" x14ac:dyDescent="0.2">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Evaluation'!$A$56:$K$346,3,0)&amp;""</f>
        <v>Yes</v>
      </c>
      <c r="G66" s="4" t="str">
        <f>VLOOKUP($A66,'Institution Evaluation'!$A$56:$K$346,7,0)&amp;""</f>
        <v>Yes</v>
      </c>
      <c r="H66" s="4" t="str">
        <f>VLOOKUP($A66,'Institution Evaluation'!$A$56:$K$346,8,0)&amp;""</f>
        <v/>
      </c>
      <c r="I66" s="4" t="str">
        <f>VLOOKUP($A66,'Institution Evaluation'!$A$56:$K$346,9,0)&amp;""</f>
        <v>Critical Importance</v>
      </c>
      <c r="J66" s="4" t="str">
        <f>VLOOKUP($A66,'Institution Evaluation'!$A$56:$K$346,10,0)&amp;""</f>
        <v/>
      </c>
      <c r="K66" s="4">
        <f t="shared" si="1"/>
        <v>20</v>
      </c>
      <c r="L66" s="108">
        <f>IF($E66="Not Scored", "N/A",IF(AND($D66='Auto Responses'!$J$27,$H66=""),"N/A",IF(AND($D66='Auto Responses'!$J$27,$H66='Auto Responses'!$J$7),1,IF(AND($D66='Auto Responses'!$J$27,$H66='Auto Responses'!$J$8),0,IF(OR($F66=$G66,$H66='Auto Responses'!$J$7),1,0)))))</f>
        <v>1</v>
      </c>
      <c r="M66" s="4" t="str">
        <f>VLOOKUP($A66,'Institution Evaluation'!$A$56:$K$346,10,0)&amp;""</f>
        <v/>
      </c>
      <c r="N66" s="4">
        <f t="shared" si="2"/>
        <v>1</v>
      </c>
      <c r="O66" s="108">
        <f t="shared" si="13"/>
        <v>20</v>
      </c>
      <c r="P66" s="108">
        <f t="shared" si="4"/>
        <v>20</v>
      </c>
      <c r="Q66" s="108">
        <f t="shared" si="5"/>
        <v>0</v>
      </c>
      <c r="R66" s="108">
        <f t="shared" si="9"/>
        <v>0</v>
      </c>
      <c r="S66" s="108">
        <f t="shared" si="6"/>
        <v>0</v>
      </c>
      <c r="T66" s="108">
        <f t="shared" si="7"/>
        <v>1</v>
      </c>
      <c r="U66" s="108">
        <f t="shared" si="10"/>
        <v>18</v>
      </c>
      <c r="V66" s="108">
        <f t="shared" si="8"/>
        <v>18</v>
      </c>
    </row>
    <row r="67" spans="1:22" ht="57" x14ac:dyDescent="0.2">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Evaluation'!$A$56:$K$346,3,0)&amp;""</f>
        <v>Yes</v>
      </c>
      <c r="G67" s="4" t="str">
        <f>VLOOKUP($A67,'Institution Evaluation'!$A$56:$K$346,7,0)&amp;""</f>
        <v>No</v>
      </c>
      <c r="H67" s="4" t="str">
        <f>VLOOKUP($A67,'Institution Evaluation'!$A$56:$K$346,8,0)&amp;""</f>
        <v/>
      </c>
      <c r="I67" s="4" t="str">
        <f>VLOOKUP($A67,'Institution Evaluation'!$A$56:$K$346,9,0)&amp;""</f>
        <v>Critical Importance</v>
      </c>
      <c r="J67" s="4" t="str">
        <f>VLOOKUP($A67,'Institution Evaluation'!$A$56:$K$346,10,0)&amp;""</f>
        <v/>
      </c>
      <c r="K67" s="4">
        <f t="shared" si="1"/>
        <v>20</v>
      </c>
      <c r="L67" s="108">
        <f>IF($E67="Not Scored", "N/A",IF(AND($D67='Auto Responses'!$J$27,$H67=""),"N/A",IF(AND($D67='Auto Responses'!$J$27,$H67='Auto Responses'!$J$7),1,IF(AND($D67='Auto Responses'!$J$27,$H67='Auto Responses'!$J$8),0,IF(OR($F67=$G67,$H67='Auto Responses'!$J$7),1,0)))))</f>
        <v>0</v>
      </c>
      <c r="M67" s="4" t="str">
        <f>VLOOKUP($A67,'Institution Evaluation'!$A$56:$K$346,10,0)&amp;""</f>
        <v/>
      </c>
      <c r="N67" s="4">
        <f t="shared" si="2"/>
        <v>1</v>
      </c>
      <c r="O67" s="108">
        <f t="shared" si="13"/>
        <v>20</v>
      </c>
      <c r="P67" s="108">
        <f t="shared" si="4"/>
        <v>0</v>
      </c>
      <c r="Q67" s="108">
        <f t="shared" ref="Q67:Q129" si="14">IF(M67="TRUE",1,0)</f>
        <v>0</v>
      </c>
      <c r="R67" s="108">
        <f t="shared" si="9"/>
        <v>0</v>
      </c>
      <c r="S67" s="108">
        <f t="shared" ref="S67:S129" si="15">IF(Q67=0,0,R67)</f>
        <v>0</v>
      </c>
      <c r="T67" s="108">
        <f t="shared" ref="T67:T129" si="16">IF(N67=1,1,0)</f>
        <v>1</v>
      </c>
      <c r="U67" s="108">
        <f t="shared" si="10"/>
        <v>19</v>
      </c>
      <c r="V67" s="108">
        <f t="shared" ref="V67:V129" si="17">IF(T67=0,0,U67)</f>
        <v>19</v>
      </c>
    </row>
    <row r="68" spans="1:22" ht="57" x14ac:dyDescent="0.2">
      <c r="A68" s="4" t="str">
        <f>Questions!$A68</f>
        <v>APPL-05</v>
      </c>
      <c r="B68" s="4" t="str">
        <f t="shared" ref="B68:B130" si="18">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Evaluation'!$A$56:$K$346,3,0)&amp;""</f>
        <v>Yes</v>
      </c>
      <c r="G68" s="4" t="str">
        <f>VLOOKUP($A68,'Institution Evaluation'!$A$56:$K$346,7,0)&amp;""</f>
        <v>Yes</v>
      </c>
      <c r="H68" s="4" t="str">
        <f>VLOOKUP($A68,'Institution Evaluation'!$A$56:$K$346,8,0)&amp;""</f>
        <v/>
      </c>
      <c r="I68" s="4" t="str">
        <f>VLOOKUP($A68,'Institution Evaluation'!$A$56:$K$346,9,0)&amp;""</f>
        <v>Critical Importance</v>
      </c>
      <c r="J68" s="4" t="str">
        <f>VLOOKUP($A68,'Institution Evaluation'!$A$56:$K$346,10,0)&amp;""</f>
        <v/>
      </c>
      <c r="K68" s="4">
        <f t="shared" ref="K68:K130" si="19">IF($I68="Critical Importance",20,IF($I68="Minor Importance",5,10))</f>
        <v>20</v>
      </c>
      <c r="L68" s="108">
        <f>IF($E68="Not Scored", "N/A",IF(AND($D68='Auto Responses'!$J$27,$H68=""),"N/A",IF(AND($D68='Auto Responses'!$J$27,$H68='Auto Responses'!$J$7),1,IF(AND($D68='Auto Responses'!$J$27,$H68='Auto Responses'!$J$8),0,IF(OR($F68=$G68,$H68='Auto Responses'!$J$7),1,0)))))</f>
        <v>1</v>
      </c>
      <c r="M68" s="4" t="str">
        <f>VLOOKUP($A68,'Institution Evaluation'!$A$56:$K$346,10,0)&amp;""</f>
        <v/>
      </c>
      <c r="N68" s="4">
        <f t="shared" ref="N68:N130" si="20">IF($J68="Critical Importance",1,IF(AND($J68="",$I68="Critical Importance"),1,0))</f>
        <v>1</v>
      </c>
      <c r="O68" s="108">
        <f t="shared" si="13"/>
        <v>20</v>
      </c>
      <c r="P68" s="108">
        <f t="shared" ref="P68:P98" si="21">IF(OR($O68="N/A",$L68="N/A"),"N/A",$O68*$L68)</f>
        <v>20</v>
      </c>
      <c r="Q68" s="108">
        <f t="shared" si="14"/>
        <v>0</v>
      </c>
      <c r="R68" s="108">
        <f t="shared" si="9"/>
        <v>0</v>
      </c>
      <c r="S68" s="108">
        <f t="shared" si="15"/>
        <v>0</v>
      </c>
      <c r="T68" s="108">
        <f t="shared" si="16"/>
        <v>1</v>
      </c>
      <c r="U68" s="108">
        <f t="shared" si="10"/>
        <v>20</v>
      </c>
      <c r="V68" s="108">
        <f t="shared" si="17"/>
        <v>20</v>
      </c>
    </row>
    <row r="69" spans="1:22" ht="57" x14ac:dyDescent="0.2">
      <c r="A69" s="4" t="str">
        <f>Questions!$A69</f>
        <v>APPL-06</v>
      </c>
      <c r="B69" s="4" t="str">
        <f t="shared" si="18"/>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Evaluation'!$A$56:$K$346,3,0)&amp;""</f>
        <v>No</v>
      </c>
      <c r="G69" s="4" t="str">
        <f>VLOOKUP($A69,'Institution Evaluation'!$A$56:$K$346,7,0)&amp;""</f>
        <v>Yes</v>
      </c>
      <c r="H69" s="4" t="str">
        <f>VLOOKUP($A69,'Institution Evaluation'!$A$56:$K$346,8,0)&amp;""</f>
        <v/>
      </c>
      <c r="I69" s="4" t="str">
        <f>VLOOKUP($A69,'Institution Evaluation'!$A$56:$K$346,9,0)&amp;""</f>
        <v>Critical Importance</v>
      </c>
      <c r="J69" s="4" t="str">
        <f>VLOOKUP($A69,'Institution Evaluation'!$A$56:$K$346,10,0)&amp;""</f>
        <v/>
      </c>
      <c r="K69" s="4">
        <f t="shared" si="19"/>
        <v>20</v>
      </c>
      <c r="L69" s="108">
        <f>IF($E69="Not Scored", "N/A",IF(AND($D69='Auto Responses'!$J$27,$H69=""),"N/A",IF(AND($D69='Auto Responses'!$J$27,$H69='Auto Responses'!$J$7),1,IF(AND($D69='Auto Responses'!$J$27,$H69='Auto Responses'!$J$8),0,IF(OR($F69=$G69,$H69='Auto Responses'!$J$7),1,0)))))</f>
        <v>0</v>
      </c>
      <c r="M69" s="4" t="str">
        <f>VLOOKUP($A69,'Institution Evaluation'!$A$56:$K$346,10,0)&amp;""</f>
        <v/>
      </c>
      <c r="N69" s="4">
        <f t="shared" si="20"/>
        <v>1</v>
      </c>
      <c r="O69" s="108">
        <f t="shared" si="13"/>
        <v>20</v>
      </c>
      <c r="P69" s="108">
        <f t="shared" si="21"/>
        <v>0</v>
      </c>
      <c r="Q69" s="108">
        <f t="shared" si="14"/>
        <v>0</v>
      </c>
      <c r="R69" s="108">
        <f t="shared" ref="R69:R132" si="22">R68+Q69</f>
        <v>0</v>
      </c>
      <c r="S69" s="108">
        <f t="shared" si="15"/>
        <v>0</v>
      </c>
      <c r="T69" s="108">
        <f t="shared" si="16"/>
        <v>1</v>
      </c>
      <c r="U69" s="108">
        <f t="shared" ref="U69:U132" si="23">U68+T69</f>
        <v>21</v>
      </c>
      <c r="V69" s="108">
        <f t="shared" si="17"/>
        <v>21</v>
      </c>
    </row>
    <row r="70" spans="1:22" ht="57" x14ac:dyDescent="0.2">
      <c r="A70" s="4" t="str">
        <f>Questions!$A70</f>
        <v>APPL-07</v>
      </c>
      <c r="B70" s="4" t="str">
        <f t="shared" si="18"/>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Evaluation'!$A$56:$K$346,3,0)&amp;""</f>
        <v>No</v>
      </c>
      <c r="G70" s="4" t="str">
        <f>VLOOKUP($A70,'Institution Evaluation'!$A$56:$K$346,7,0)&amp;""</f>
        <v>Yes</v>
      </c>
      <c r="H70" s="4" t="str">
        <f>VLOOKUP($A70,'Institution Evaluation'!$A$56:$K$346,8,0)&amp;""</f>
        <v/>
      </c>
      <c r="I70" s="4" t="str">
        <f>VLOOKUP($A70,'Institution Evaluation'!$A$56:$K$346,9,0)&amp;""</f>
        <v>Critical Importance</v>
      </c>
      <c r="J70" s="4" t="str">
        <f>VLOOKUP($A70,'Institution Evaluation'!$A$56:$K$346,10,0)&amp;""</f>
        <v/>
      </c>
      <c r="K70" s="4">
        <f t="shared" si="19"/>
        <v>20</v>
      </c>
      <c r="L70" s="108">
        <f>IF($E70="Not Scored", "N/A",IF(AND($D70='Auto Responses'!$J$27,$H70=""),"N/A",IF(AND($D70='Auto Responses'!$J$27,$H70='Auto Responses'!$J$7),1,IF(AND($D70='Auto Responses'!$J$27,$H70='Auto Responses'!$J$8),0,IF(OR($F70=$G70,$H70='Auto Responses'!$J$7),1,0)))))</f>
        <v>0</v>
      </c>
      <c r="M70" s="4" t="str">
        <f>VLOOKUP($A70,'Institution Evaluation'!$A$56:$K$346,10,0)&amp;""</f>
        <v/>
      </c>
      <c r="N70" s="4">
        <f t="shared" si="20"/>
        <v>1</v>
      </c>
      <c r="O70" s="108">
        <f t="shared" si="13"/>
        <v>20</v>
      </c>
      <c r="P70" s="108">
        <f t="shared" si="21"/>
        <v>0</v>
      </c>
      <c r="Q70" s="108">
        <f t="shared" si="14"/>
        <v>0</v>
      </c>
      <c r="R70" s="108">
        <f t="shared" si="22"/>
        <v>0</v>
      </c>
      <c r="S70" s="108">
        <f t="shared" si="15"/>
        <v>0</v>
      </c>
      <c r="T70" s="108">
        <f t="shared" si="16"/>
        <v>1</v>
      </c>
      <c r="U70" s="108">
        <f t="shared" si="23"/>
        <v>22</v>
      </c>
      <c r="V70" s="108">
        <f t="shared" si="17"/>
        <v>22</v>
      </c>
    </row>
    <row r="71" spans="1:22" ht="57" x14ac:dyDescent="0.2">
      <c r="A71" s="4" t="str">
        <f>Questions!$A71</f>
        <v>APPL-08</v>
      </c>
      <c r="B71" s="4" t="str">
        <f t="shared" si="18"/>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Evaluation'!$A$56:$K$346,3,0)&amp;""</f>
        <v>No</v>
      </c>
      <c r="G71" s="4" t="str">
        <f>VLOOKUP($A71,'Institution Evaluation'!$A$56:$K$346,7,0)&amp;""</f>
        <v>Yes</v>
      </c>
      <c r="H71" s="4" t="str">
        <f>VLOOKUP($A71,'Institution Evaluation'!$A$56:$K$346,8,0)&amp;""</f>
        <v/>
      </c>
      <c r="I71" s="4" t="str">
        <f>VLOOKUP($A71,'Institution Evaluation'!$A$56:$K$346,9,0)&amp;""</f>
        <v>Standard Importance</v>
      </c>
      <c r="J71" s="4" t="str">
        <f>VLOOKUP($A71,'Institution Evaluation'!$A$56:$K$346,10,0)&amp;""</f>
        <v/>
      </c>
      <c r="K71" s="4">
        <f t="shared" si="19"/>
        <v>10</v>
      </c>
      <c r="L71" s="108">
        <f>IF($E71="Not Scored", "N/A",IF(AND($D71='Auto Responses'!$J$27,$H71=""),"N/A",IF(AND($D71='Auto Responses'!$J$27,$H71='Auto Responses'!$J$7),1,IF(AND($D71='Auto Responses'!$J$27,$H71='Auto Responses'!$J$8),0,IF(OR($F71=$G71,$H71='Auto Responses'!$J$7),1,0)))))</f>
        <v>0</v>
      </c>
      <c r="M71" s="4" t="str">
        <f>VLOOKUP($A71,'Institution Evaluation'!$A$56:$K$346,10,0)&amp;""</f>
        <v/>
      </c>
      <c r="N71" s="4">
        <f t="shared" si="20"/>
        <v>0</v>
      </c>
      <c r="O71" s="108">
        <f t="shared" si="13"/>
        <v>10</v>
      </c>
      <c r="P71" s="108">
        <f t="shared" si="21"/>
        <v>0</v>
      </c>
      <c r="Q71" s="108">
        <f t="shared" si="14"/>
        <v>0</v>
      </c>
      <c r="R71" s="108">
        <f t="shared" si="22"/>
        <v>0</v>
      </c>
      <c r="S71" s="108">
        <f t="shared" si="15"/>
        <v>0</v>
      </c>
      <c r="T71" s="108">
        <f t="shared" si="16"/>
        <v>0</v>
      </c>
      <c r="U71" s="108">
        <f t="shared" si="23"/>
        <v>22</v>
      </c>
      <c r="V71" s="108">
        <f t="shared" si="17"/>
        <v>0</v>
      </c>
    </row>
    <row r="72" spans="1:22" ht="57" x14ac:dyDescent="0.2">
      <c r="A72" s="4" t="str">
        <f>Questions!$A72</f>
        <v>APPL-09</v>
      </c>
      <c r="B72" s="4" t="str">
        <f t="shared" si="18"/>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Evaluation'!$A$56:$K$346,3,0)&amp;""</f>
        <v>Yes</v>
      </c>
      <c r="G72" s="4" t="str">
        <f>VLOOKUP($A72,'Institution Evaluation'!$A$56:$K$346,7,0)&amp;""</f>
        <v>Yes</v>
      </c>
      <c r="H72" s="4" t="str">
        <f>VLOOKUP($A72,'Institution Evaluation'!$A$56:$K$346,8,0)&amp;""</f>
        <v/>
      </c>
      <c r="I72" s="4" t="str">
        <f>VLOOKUP($A72,'Institution Evaluation'!$A$56:$K$346,9,0)&amp;""</f>
        <v>Standard Importance</v>
      </c>
      <c r="J72" s="4" t="str">
        <f>VLOOKUP($A72,'Institution Evaluation'!$A$56:$K$346,10,0)&amp;""</f>
        <v/>
      </c>
      <c r="K72" s="4">
        <f t="shared" si="19"/>
        <v>10</v>
      </c>
      <c r="L72" s="108">
        <f>IF($E72="Not Scored", "N/A",IF(AND($D72='Auto Responses'!$J$27,$H72=""),"N/A",IF(AND($D72='Auto Responses'!$J$27,$H72='Auto Responses'!$J$7),1,IF(AND($D72='Auto Responses'!$J$27,$H72='Auto Responses'!$J$8),0,IF(OR($F72=$G72,$H72='Auto Responses'!$J$7),1,0)))))</f>
        <v>1</v>
      </c>
      <c r="M72" s="4" t="str">
        <f>VLOOKUP($A72,'Institution Evaluation'!$A$56:$K$346,10,0)&amp;""</f>
        <v/>
      </c>
      <c r="N72" s="4">
        <f t="shared" si="20"/>
        <v>0</v>
      </c>
      <c r="O72" s="108">
        <f t="shared" si="13"/>
        <v>10</v>
      </c>
      <c r="P72" s="108">
        <f t="shared" si="21"/>
        <v>10</v>
      </c>
      <c r="Q72" s="108">
        <f t="shared" si="14"/>
        <v>0</v>
      </c>
      <c r="R72" s="108">
        <f t="shared" si="22"/>
        <v>0</v>
      </c>
      <c r="S72" s="108">
        <f t="shared" si="15"/>
        <v>0</v>
      </c>
      <c r="T72" s="108">
        <f t="shared" si="16"/>
        <v>0</v>
      </c>
      <c r="U72" s="108">
        <f t="shared" si="23"/>
        <v>22</v>
      </c>
      <c r="V72" s="108">
        <f t="shared" si="17"/>
        <v>0</v>
      </c>
    </row>
    <row r="73" spans="1:22" ht="57" x14ac:dyDescent="0.2">
      <c r="A73" s="4" t="str">
        <f>Questions!$A73</f>
        <v>APPL-10</v>
      </c>
      <c r="B73" s="4" t="str">
        <f t="shared" si="18"/>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Evaluation'!$A$56:$K$346,3,0)&amp;""</f>
        <v>No</v>
      </c>
      <c r="G73" s="4" t="str">
        <f>VLOOKUP($A73,'Institution Evaluation'!$A$56:$K$346,7,0)&amp;""</f>
        <v>Yes</v>
      </c>
      <c r="H73" s="4" t="str">
        <f>VLOOKUP($A73,'Institution Evaluation'!$A$56:$K$346,8,0)&amp;""</f>
        <v/>
      </c>
      <c r="I73" s="4" t="str">
        <f>VLOOKUP($A73,'Institution Evaluation'!$A$56:$K$346,9,0)&amp;""</f>
        <v>Standard Importance</v>
      </c>
      <c r="J73" s="4" t="str">
        <f>VLOOKUP($A73,'Institution Evaluation'!$A$56:$K$346,10,0)&amp;""</f>
        <v/>
      </c>
      <c r="K73" s="4">
        <f t="shared" si="19"/>
        <v>10</v>
      </c>
      <c r="L73" s="108">
        <f>IF($E73="Not Scored", "N/A",IF(AND($D73='Auto Responses'!$J$27,$H73=""),"N/A",IF(AND($D73='Auto Responses'!$J$27,$H73='Auto Responses'!$J$7),1,IF(AND($D73='Auto Responses'!$J$27,$H73='Auto Responses'!$J$8),0,IF(OR($F73=$G73,$H73='Auto Responses'!$J$7),1,0)))))</f>
        <v>0</v>
      </c>
      <c r="M73" s="4" t="str">
        <f>VLOOKUP($A73,'Institution Evaluation'!$A$56:$K$346,10,0)&amp;""</f>
        <v/>
      </c>
      <c r="N73" s="4">
        <f t="shared" si="20"/>
        <v>0</v>
      </c>
      <c r="O73" s="108">
        <f t="shared" si="13"/>
        <v>10</v>
      </c>
      <c r="P73" s="108">
        <f t="shared" si="21"/>
        <v>0</v>
      </c>
      <c r="Q73" s="108">
        <f t="shared" si="14"/>
        <v>0</v>
      </c>
      <c r="R73" s="108">
        <f t="shared" si="22"/>
        <v>0</v>
      </c>
      <c r="S73" s="108">
        <f t="shared" si="15"/>
        <v>0</v>
      </c>
      <c r="T73" s="108">
        <f t="shared" si="16"/>
        <v>0</v>
      </c>
      <c r="U73" s="108">
        <f t="shared" si="23"/>
        <v>22</v>
      </c>
      <c r="V73" s="108">
        <f t="shared" si="17"/>
        <v>0</v>
      </c>
    </row>
    <row r="74" spans="1:22" ht="57" x14ac:dyDescent="0.2">
      <c r="A74" s="4" t="str">
        <f>Questions!$A74</f>
        <v>APPL-11</v>
      </c>
      <c r="B74" s="4" t="str">
        <f t="shared" si="18"/>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Evaluation'!$A$56:$K$346,3,0)&amp;""</f>
        <v>No</v>
      </c>
      <c r="G74" s="4" t="str">
        <f>VLOOKUP($A74,'Institution Evaluation'!$A$56:$K$346,7,0)&amp;""</f>
        <v>Yes</v>
      </c>
      <c r="H74" s="4" t="str">
        <f>VLOOKUP($A74,'Institution Evaluation'!$A$56:$K$346,8,0)&amp;""</f>
        <v/>
      </c>
      <c r="I74" s="4" t="str">
        <f>VLOOKUP($A74,'Institution Evaluation'!$A$56:$K$346,9,0)&amp;""</f>
        <v>Standard Importance</v>
      </c>
      <c r="J74" s="4" t="str">
        <f>VLOOKUP($A74,'Institution Evaluation'!$A$56:$K$346,10,0)&amp;""</f>
        <v/>
      </c>
      <c r="K74" s="4">
        <f t="shared" si="19"/>
        <v>10</v>
      </c>
      <c r="L74" s="108">
        <f>IF($E74="Not Scored", "N/A",IF(AND($D74='Auto Responses'!$J$27,$H74=""),"N/A",IF(AND($D74='Auto Responses'!$J$27,$H74='Auto Responses'!$J$7),1,IF(AND($D74='Auto Responses'!$J$27,$H74='Auto Responses'!$J$8),0,IF(OR($F74=$G74,$H74='Auto Responses'!$J$7),1,0)))))</f>
        <v>0</v>
      </c>
      <c r="M74" s="4" t="str">
        <f>VLOOKUP($A74,'Institution Evaluation'!$A$56:$K$346,10,0)&amp;""</f>
        <v/>
      </c>
      <c r="N74" s="4">
        <f t="shared" si="20"/>
        <v>0</v>
      </c>
      <c r="O74" s="108">
        <f t="shared" si="13"/>
        <v>10</v>
      </c>
      <c r="P74" s="108">
        <f t="shared" si="21"/>
        <v>0</v>
      </c>
      <c r="Q74" s="108">
        <f t="shared" si="14"/>
        <v>0</v>
      </c>
      <c r="R74" s="108">
        <f t="shared" si="22"/>
        <v>0</v>
      </c>
      <c r="S74" s="108">
        <f t="shared" si="15"/>
        <v>0</v>
      </c>
      <c r="T74" s="108">
        <f t="shared" si="16"/>
        <v>0</v>
      </c>
      <c r="U74" s="108">
        <f t="shared" si="23"/>
        <v>22</v>
      </c>
      <c r="V74" s="108">
        <f t="shared" si="17"/>
        <v>0</v>
      </c>
    </row>
    <row r="75" spans="1:22" ht="57" x14ac:dyDescent="0.2">
      <c r="A75" s="4" t="str">
        <f>Questions!$A75</f>
        <v>APPL-12</v>
      </c>
      <c r="B75" s="4" t="str">
        <f t="shared" si="18"/>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Evaluation'!$A$56:$K$346,3,0)&amp;""</f>
        <v>No</v>
      </c>
      <c r="G75" s="4" t="str">
        <f>VLOOKUP($A75,'Institution Evaluation'!$A$56:$K$346,7,0)&amp;""</f>
        <v>Yes</v>
      </c>
      <c r="H75" s="4" t="str">
        <f>VLOOKUP($A75,'Institution Evaluation'!$A$56:$K$346,8,0)&amp;""</f>
        <v/>
      </c>
      <c r="I75" s="4" t="str">
        <f>VLOOKUP($A75,'Institution Evaluation'!$A$56:$K$346,9,0)&amp;""</f>
        <v>Standard Importance</v>
      </c>
      <c r="J75" s="4" t="str">
        <f>VLOOKUP($A75,'Institution Evaluation'!$A$56:$K$346,10,0)&amp;""</f>
        <v/>
      </c>
      <c r="K75" s="4">
        <f t="shared" si="19"/>
        <v>10</v>
      </c>
      <c r="L75" s="108">
        <f>IF($E75="Not Scored", "N/A",IF(AND($D75='Auto Responses'!$J$27,$H75=""),"N/A",IF(AND($D75='Auto Responses'!$J$27,$H75='Auto Responses'!$J$7),1,IF(AND($D75='Auto Responses'!$J$27,$H75='Auto Responses'!$J$8),0,IF(OR($F75=$G75,$H75='Auto Responses'!$J$7),1,0)))))</f>
        <v>0</v>
      </c>
      <c r="M75" s="4" t="str">
        <f>VLOOKUP($A75,'Institution Evaluation'!$A$56:$K$346,10,0)&amp;""</f>
        <v/>
      </c>
      <c r="N75" s="4">
        <f t="shared" si="20"/>
        <v>0</v>
      </c>
      <c r="O75" s="108">
        <f t="shared" si="13"/>
        <v>10</v>
      </c>
      <c r="P75" s="108">
        <f t="shared" si="21"/>
        <v>0</v>
      </c>
      <c r="Q75" s="108">
        <f t="shared" si="14"/>
        <v>0</v>
      </c>
      <c r="R75" s="108">
        <f t="shared" si="22"/>
        <v>0</v>
      </c>
      <c r="S75" s="108">
        <f t="shared" si="15"/>
        <v>0</v>
      </c>
      <c r="T75" s="108">
        <f t="shared" si="16"/>
        <v>0</v>
      </c>
      <c r="U75" s="108">
        <f t="shared" si="23"/>
        <v>22</v>
      </c>
      <c r="V75" s="108">
        <f t="shared" si="17"/>
        <v>0</v>
      </c>
    </row>
    <row r="76" spans="1:22" ht="57" x14ac:dyDescent="0.2">
      <c r="A76" s="4" t="str">
        <f>Questions!$A76</f>
        <v>APPL-13</v>
      </c>
      <c r="B76" s="4" t="str">
        <f t="shared" si="18"/>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Evaluation'!$A$56:$K$346,3,0)&amp;""</f>
        <v>No</v>
      </c>
      <c r="G76" s="4" t="str">
        <f>VLOOKUP($A76,'Institution Evaluation'!$A$56:$K$346,7,0)&amp;""</f>
        <v>Yes</v>
      </c>
      <c r="H76" s="4" t="str">
        <f>VLOOKUP($A76,'Institution Evaluation'!$A$56:$K$346,8,0)&amp;""</f>
        <v/>
      </c>
      <c r="I76" s="4" t="str">
        <f>VLOOKUP($A76,'Institution Evaluation'!$A$56:$K$346,9,0)&amp;""</f>
        <v>Minor Importance</v>
      </c>
      <c r="J76" s="4" t="str">
        <f>VLOOKUP($A76,'Institution Evaluation'!$A$56:$K$346,10,0)&amp;""</f>
        <v/>
      </c>
      <c r="K76" s="4">
        <f t="shared" si="19"/>
        <v>5</v>
      </c>
      <c r="L76" s="108">
        <f>IF($E76="Not Scored", "N/A",IF(AND($D76='Auto Responses'!$J$27,$H76=""),"N/A",IF(AND($D76='Auto Responses'!$J$27,$H76='Auto Responses'!$J$7),1,IF(AND($D76='Auto Responses'!$J$27,$H76='Auto Responses'!$J$8),0,IF(OR($F76=$G76,$H76='Auto Responses'!$J$7),1,0)))))</f>
        <v>0</v>
      </c>
      <c r="M76" s="4" t="str">
        <f>VLOOKUP($A76,'Institution Evaluation'!$A$56:$K$346,10,0)&amp;""</f>
        <v/>
      </c>
      <c r="N76" s="4">
        <f t="shared" si="20"/>
        <v>0</v>
      </c>
      <c r="O76" s="108">
        <f>IF(OR($F$17="No",$E76="Not Scored",$F76="N/A"),"N/A",IF($J76="",$K76,IF($J76="Minor Importance",5,IF($J76="Standard Importance",10,IF($J76="Critical Importance",20,0)))))</f>
        <v>5</v>
      </c>
      <c r="P76" s="108">
        <f t="shared" si="21"/>
        <v>0</v>
      </c>
      <c r="Q76" s="108">
        <f t="shared" si="14"/>
        <v>0</v>
      </c>
      <c r="R76" s="108">
        <f t="shared" si="22"/>
        <v>0</v>
      </c>
      <c r="S76" s="108">
        <f t="shared" si="15"/>
        <v>0</v>
      </c>
      <c r="T76" s="108">
        <f t="shared" si="16"/>
        <v>0</v>
      </c>
      <c r="U76" s="108">
        <f t="shared" si="23"/>
        <v>22</v>
      </c>
      <c r="V76" s="108">
        <f t="shared" si="17"/>
        <v>0</v>
      </c>
    </row>
    <row r="77" spans="1:22" ht="57" x14ac:dyDescent="0.2">
      <c r="A77" s="4" t="str">
        <f>Questions!$A77</f>
        <v>APPL-14</v>
      </c>
      <c r="B77" s="4" t="str">
        <f t="shared" si="18"/>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Evaluation'!$A$56:$K$346,3,0)&amp;""</f>
        <v>No</v>
      </c>
      <c r="G77" s="4" t="str">
        <f>VLOOKUP($A77,'Institution Evaluation'!$A$56:$K$346,7,0)&amp;""</f>
        <v>Yes</v>
      </c>
      <c r="H77" s="4" t="str">
        <f>VLOOKUP($A77,'Institution Evaluation'!$A$56:$K$346,8,0)&amp;""</f>
        <v/>
      </c>
      <c r="I77" s="4" t="str">
        <f>VLOOKUP($A77,'Institution Evaluation'!$A$56:$K$346,9,0)&amp;""</f>
        <v>Minor Importance</v>
      </c>
      <c r="J77" s="4" t="str">
        <f>VLOOKUP($A77,'Institution Evaluation'!$A$56:$K$346,10,0)&amp;""</f>
        <v/>
      </c>
      <c r="K77" s="4">
        <f t="shared" si="19"/>
        <v>5</v>
      </c>
      <c r="L77" s="108">
        <f>IF($E77="Not Scored", "N/A",IF(AND($D77='Auto Responses'!$J$27,$H77=""),"N/A",IF(AND($D77='Auto Responses'!$J$27,$H77='Auto Responses'!$J$7),1,IF(AND($D77='Auto Responses'!$J$27,$H77='Auto Responses'!$J$8),0,IF(OR($F77=$G77,$H77='Auto Responses'!$J$7),1,0)))))</f>
        <v>0</v>
      </c>
      <c r="M77" s="4" t="str">
        <f>VLOOKUP($A77,'Institution Evaluation'!$A$56:$K$346,10,0)&amp;""</f>
        <v/>
      </c>
      <c r="N77" s="4">
        <f t="shared" si="20"/>
        <v>0</v>
      </c>
      <c r="O77" s="108">
        <f t="shared" si="13"/>
        <v>5</v>
      </c>
      <c r="P77" s="108">
        <f t="shared" si="21"/>
        <v>0</v>
      </c>
      <c r="Q77" s="108">
        <f t="shared" si="14"/>
        <v>0</v>
      </c>
      <c r="R77" s="108">
        <f t="shared" si="22"/>
        <v>0</v>
      </c>
      <c r="S77" s="108">
        <f t="shared" si="15"/>
        <v>0</v>
      </c>
      <c r="T77" s="108">
        <f t="shared" si="16"/>
        <v>0</v>
      </c>
      <c r="U77" s="108">
        <f t="shared" si="23"/>
        <v>22</v>
      </c>
      <c r="V77" s="108">
        <f t="shared" si="17"/>
        <v>0</v>
      </c>
    </row>
    <row r="78" spans="1:22" ht="57" x14ac:dyDescent="0.2">
      <c r="A78" s="4" t="str">
        <f>Questions!$A78</f>
        <v>AAAI-01</v>
      </c>
      <c r="B78" s="4" t="str">
        <f t="shared" si="18"/>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Evaluation'!$A$56:$K$346,3,0)&amp;""</f>
        <v>No</v>
      </c>
      <c r="G78" s="4" t="str">
        <f>VLOOKUP($A78,'Institution Evaluation'!$A$56:$K$346,7,0)&amp;""</f>
        <v>Yes</v>
      </c>
      <c r="H78" s="4" t="str">
        <f>VLOOKUP($A78,'Institution Evaluation'!$A$56:$K$346,8,0)&amp;""</f>
        <v/>
      </c>
      <c r="I78" s="4" t="str">
        <f>VLOOKUP($A78,'Institution Evaluation'!$A$56:$K$346,9,0)&amp;""</f>
        <v>Critical Importance</v>
      </c>
      <c r="J78" s="4" t="str">
        <f>VLOOKUP($A78,'Institution Evaluation'!$A$56:$K$346,10,0)&amp;""</f>
        <v/>
      </c>
      <c r="K78" s="4">
        <f t="shared" si="19"/>
        <v>20</v>
      </c>
      <c r="L78" s="108">
        <f>IF($E78="Not Scored", "N/A",IF(AND($D78='Auto Responses'!$J$27,$H78=""),"N/A",IF(AND($D78='Auto Responses'!$J$27,$H78='Auto Responses'!$J$7),1,IF(AND($D78='Auto Responses'!$J$27,$H78='Auto Responses'!$J$8),0,IF(OR($F78=$G78,$H78='Auto Responses'!$J$7),1,0)))))</f>
        <v>0</v>
      </c>
      <c r="M78" s="4" t="str">
        <f>VLOOKUP($A78,'Institution Evaluation'!$A$56:$K$346,10,0)&amp;""</f>
        <v/>
      </c>
      <c r="N78" s="4">
        <f t="shared" si="20"/>
        <v>1</v>
      </c>
      <c r="O78" s="108">
        <f t="shared" ref="O78:O130" si="24">IF($E78="Not Scored","N/A",IF($J78="",$K78,IF($J78="Minor Importance",5,IF($J78="Standard Importance",10,IF($J78="Critical Importance",20,0)))))</f>
        <v>20</v>
      </c>
      <c r="P78" s="108">
        <f t="shared" si="21"/>
        <v>0</v>
      </c>
      <c r="Q78" s="108">
        <f t="shared" si="14"/>
        <v>0</v>
      </c>
      <c r="R78" s="108">
        <f t="shared" si="22"/>
        <v>0</v>
      </c>
      <c r="S78" s="108">
        <f t="shared" si="15"/>
        <v>0</v>
      </c>
      <c r="T78" s="108">
        <f t="shared" si="16"/>
        <v>1</v>
      </c>
      <c r="U78" s="108">
        <f t="shared" si="23"/>
        <v>23</v>
      </c>
      <c r="V78" s="108">
        <f t="shared" si="17"/>
        <v>23</v>
      </c>
    </row>
    <row r="79" spans="1:22" ht="57" x14ac:dyDescent="0.2">
      <c r="A79" s="4" t="str">
        <f>Questions!$A79</f>
        <v>AAAI-02</v>
      </c>
      <c r="B79" s="4" t="str">
        <f t="shared" si="18"/>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Evaluation'!$A$56:$K$346,3,0)&amp;""</f>
        <v>Yes</v>
      </c>
      <c r="G79" s="4" t="str">
        <f>VLOOKUP($A79,'Institution Evaluation'!$A$56:$K$346,7,0)&amp;""</f>
        <v>Yes</v>
      </c>
      <c r="H79" s="4" t="str">
        <f>VLOOKUP($A79,'Institution Evaluation'!$A$56:$K$346,8,0)&amp;""</f>
        <v/>
      </c>
      <c r="I79" s="4" t="str">
        <f>VLOOKUP($A79,'Institution Evaluation'!$A$56:$K$346,9,0)&amp;""</f>
        <v>Critical Importance</v>
      </c>
      <c r="J79" s="4" t="str">
        <f>VLOOKUP($A79,'Institution Evaluation'!$A$56:$K$346,10,0)&amp;""</f>
        <v/>
      </c>
      <c r="K79" s="4">
        <f t="shared" si="19"/>
        <v>20</v>
      </c>
      <c r="L79" s="108">
        <f>IF($E79="Not Scored", "N/A",IF(AND($D79='Auto Responses'!$J$27,$H79=""),"N/A",IF(AND($D79='Auto Responses'!$J$27,$H79='Auto Responses'!$J$7),1,IF(AND($D79='Auto Responses'!$J$27,$H79='Auto Responses'!$J$8),0,IF(OR($F79=$G79,$H79='Auto Responses'!$J$7),1,0)))))</f>
        <v>1</v>
      </c>
      <c r="M79" s="4" t="str">
        <f>VLOOKUP($A79,'Institution Evaluation'!$A$56:$K$346,10,0)&amp;""</f>
        <v/>
      </c>
      <c r="N79" s="4">
        <f t="shared" si="20"/>
        <v>1</v>
      </c>
      <c r="O79" s="108">
        <f t="shared" si="24"/>
        <v>20</v>
      </c>
      <c r="P79" s="108">
        <f t="shared" si="21"/>
        <v>20</v>
      </c>
      <c r="Q79" s="108">
        <f t="shared" si="14"/>
        <v>0</v>
      </c>
      <c r="R79" s="108">
        <f t="shared" si="22"/>
        <v>0</v>
      </c>
      <c r="S79" s="108">
        <f t="shared" si="15"/>
        <v>0</v>
      </c>
      <c r="T79" s="108">
        <f t="shared" si="16"/>
        <v>1</v>
      </c>
      <c r="U79" s="108">
        <f t="shared" si="23"/>
        <v>24</v>
      </c>
      <c r="V79" s="108">
        <f t="shared" si="17"/>
        <v>24</v>
      </c>
    </row>
    <row r="80" spans="1:22" ht="57" x14ac:dyDescent="0.2">
      <c r="A80" s="4" t="str">
        <f>Questions!$A80</f>
        <v>AAAI-03</v>
      </c>
      <c r="B80" s="4" t="str">
        <f t="shared" si="18"/>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Evaluation'!$A$56:$K$346,3,0)&amp;""</f>
        <v>Yes</v>
      </c>
      <c r="G80" s="4" t="str">
        <f>VLOOKUP($A80,'Institution Evaluation'!$A$56:$K$346,7,0)&amp;""</f>
        <v>Yes</v>
      </c>
      <c r="H80" s="4" t="str">
        <f>VLOOKUP($A80,'Institution Evaluation'!$A$56:$K$346,8,0)&amp;""</f>
        <v/>
      </c>
      <c r="I80" s="4" t="str">
        <f>VLOOKUP($A80,'Institution Evaluation'!$A$56:$K$346,9,0)&amp;""</f>
        <v>Critical Importance</v>
      </c>
      <c r="J80" s="4" t="str">
        <f>VLOOKUP($A80,'Institution Evaluation'!$A$56:$K$346,10,0)&amp;""</f>
        <v/>
      </c>
      <c r="K80" s="4">
        <f t="shared" si="19"/>
        <v>20</v>
      </c>
      <c r="L80" s="108">
        <f>IF($E80="Not Scored", "N/A",IF(AND($D80='Auto Responses'!$J$27,$H80=""),"N/A",IF(AND($D80='Auto Responses'!$J$27,$H80='Auto Responses'!$J$7),1,IF(AND($D80='Auto Responses'!$J$27,$H80='Auto Responses'!$J$8),0,IF(OR($F80=$G80,$H80='Auto Responses'!$J$7),1,0)))))</f>
        <v>1</v>
      </c>
      <c r="M80" s="4" t="str">
        <f>VLOOKUP($A80,'Institution Evaluation'!$A$56:$K$346,10,0)&amp;""</f>
        <v/>
      </c>
      <c r="N80" s="4">
        <f t="shared" si="20"/>
        <v>1</v>
      </c>
      <c r="O80" s="108">
        <f t="shared" si="24"/>
        <v>20</v>
      </c>
      <c r="P80" s="108">
        <f t="shared" si="21"/>
        <v>20</v>
      </c>
      <c r="Q80" s="108">
        <f t="shared" si="14"/>
        <v>0</v>
      </c>
      <c r="R80" s="108">
        <f t="shared" si="22"/>
        <v>0</v>
      </c>
      <c r="S80" s="108">
        <f t="shared" si="15"/>
        <v>0</v>
      </c>
      <c r="T80" s="108">
        <f t="shared" si="16"/>
        <v>1</v>
      </c>
      <c r="U80" s="108">
        <f t="shared" si="23"/>
        <v>25</v>
      </c>
      <c r="V80" s="108">
        <f t="shared" si="17"/>
        <v>25</v>
      </c>
    </row>
    <row r="81" spans="1:22" ht="57" x14ac:dyDescent="0.2">
      <c r="A81" s="4" t="str">
        <f>Questions!$A81</f>
        <v>AAAI-04</v>
      </c>
      <c r="B81" s="4" t="str">
        <f t="shared" si="18"/>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Evaluation'!$A$56:$K$346,3,0)&amp;""</f>
        <v>Yes</v>
      </c>
      <c r="G81" s="4" t="str">
        <f>VLOOKUP($A81,'Institution Evaluation'!$A$56:$K$346,7,0)&amp;""</f>
        <v>No</v>
      </c>
      <c r="H81" s="4" t="str">
        <f>VLOOKUP($A81,'Institution Evaluation'!$A$56:$K$346,8,0)&amp;""</f>
        <v/>
      </c>
      <c r="I81" s="4" t="str">
        <f>VLOOKUP($A81,'Institution Evaluation'!$A$56:$K$346,9,0)&amp;""</f>
        <v>Critical Importance</v>
      </c>
      <c r="J81" s="4" t="str">
        <f>VLOOKUP($A81,'Institution Evaluation'!$A$56:$K$346,10,0)&amp;""</f>
        <v/>
      </c>
      <c r="K81" s="4">
        <f t="shared" si="19"/>
        <v>20</v>
      </c>
      <c r="L81" s="108">
        <f>IF($E81="Not Scored", "N/A",IF(AND($D81='Auto Responses'!$J$27,$H81=""),"N/A",IF(AND($D81='Auto Responses'!$J$27,$H81='Auto Responses'!$J$7),1,IF(AND($D81='Auto Responses'!$J$27,$H81='Auto Responses'!$J$8),0,IF(OR($F81=$G81,$H81='Auto Responses'!$J$7),1,0)))))</f>
        <v>0</v>
      </c>
      <c r="M81" s="4" t="str">
        <f>VLOOKUP($A81,'Institution Evaluation'!$A$56:$K$346,10,0)&amp;""</f>
        <v/>
      </c>
      <c r="N81" s="4">
        <f t="shared" si="20"/>
        <v>1</v>
      </c>
      <c r="O81" s="108">
        <f t="shared" si="24"/>
        <v>20</v>
      </c>
      <c r="P81" s="108">
        <f t="shared" si="21"/>
        <v>0</v>
      </c>
      <c r="Q81" s="108">
        <f t="shared" si="14"/>
        <v>0</v>
      </c>
      <c r="R81" s="108">
        <f t="shared" si="22"/>
        <v>0</v>
      </c>
      <c r="S81" s="108">
        <f t="shared" si="15"/>
        <v>0</v>
      </c>
      <c r="T81" s="108">
        <f t="shared" si="16"/>
        <v>1</v>
      </c>
      <c r="U81" s="108">
        <f t="shared" si="23"/>
        <v>26</v>
      </c>
      <c r="V81" s="108">
        <f t="shared" si="17"/>
        <v>26</v>
      </c>
    </row>
    <row r="82" spans="1:22" ht="57" x14ac:dyDescent="0.2">
      <c r="A82" s="4" t="str">
        <f>Questions!$A82</f>
        <v>AAAI-05</v>
      </c>
      <c r="B82" s="4" t="str">
        <f t="shared" si="18"/>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Evaluation'!$A$56:$K$346,3,0)&amp;""</f>
        <v>Yes</v>
      </c>
      <c r="G82" s="4" t="str">
        <f>VLOOKUP($A82,'Institution Evaluation'!$A$56:$K$346,7,0)&amp;""</f>
        <v>Yes</v>
      </c>
      <c r="H82" s="4" t="str">
        <f>VLOOKUP($A82,'Institution Evaluation'!$A$56:$K$346,8,0)&amp;""</f>
        <v/>
      </c>
      <c r="I82" s="4" t="str">
        <f>VLOOKUP($A82,'Institution Evaluation'!$A$56:$K$346,9,0)&amp;""</f>
        <v>Critical Importance</v>
      </c>
      <c r="J82" s="4" t="str">
        <f>VLOOKUP($A82,'Institution Evaluation'!$A$56:$K$346,10,0)&amp;""</f>
        <v/>
      </c>
      <c r="K82" s="4">
        <f t="shared" si="19"/>
        <v>20</v>
      </c>
      <c r="L82" s="108">
        <f>IF($E82="Not Scored", "N/A",IF(AND($D82='Auto Responses'!$J$27,$H82=""),"N/A",IF(AND($D82='Auto Responses'!$J$27,$H82='Auto Responses'!$J$7),1,IF(AND($D82='Auto Responses'!$J$27,$H82='Auto Responses'!$J$8),0,IF(OR($F82=$G82,$H82='Auto Responses'!$J$7),1,0)))))</f>
        <v>1</v>
      </c>
      <c r="M82" s="4" t="str">
        <f>VLOOKUP($A82,'Institution Evaluation'!$A$56:$K$346,10,0)&amp;""</f>
        <v/>
      </c>
      <c r="N82" s="4">
        <f t="shared" si="20"/>
        <v>1</v>
      </c>
      <c r="O82" s="108">
        <f t="shared" si="24"/>
        <v>20</v>
      </c>
      <c r="P82" s="108">
        <f t="shared" si="21"/>
        <v>20</v>
      </c>
      <c r="Q82" s="108">
        <f t="shared" si="14"/>
        <v>0</v>
      </c>
      <c r="R82" s="108">
        <f t="shared" si="22"/>
        <v>0</v>
      </c>
      <c r="S82" s="108">
        <f t="shared" si="15"/>
        <v>0</v>
      </c>
      <c r="T82" s="108">
        <f t="shared" si="16"/>
        <v>1</v>
      </c>
      <c r="U82" s="108">
        <f t="shared" si="23"/>
        <v>27</v>
      </c>
      <c r="V82" s="108">
        <f t="shared" si="17"/>
        <v>27</v>
      </c>
    </row>
    <row r="83" spans="1:22" ht="57" x14ac:dyDescent="0.2">
      <c r="A83" s="4" t="str">
        <f>Questions!$A83</f>
        <v>AAAI-06</v>
      </c>
      <c r="B83" s="4" t="str">
        <f t="shared" si="18"/>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Evaluation'!$A$56:$K$346,3,0)&amp;""</f>
        <v>No</v>
      </c>
      <c r="G83" s="4" t="str">
        <f>VLOOKUP($A83,'Institution Evaluation'!$A$56:$K$346,7,0)&amp;""</f>
        <v>Yes</v>
      </c>
      <c r="H83" s="4" t="str">
        <f>VLOOKUP($A83,'Institution Evaluation'!$A$56:$K$346,8,0)&amp;""</f>
        <v/>
      </c>
      <c r="I83" s="4" t="str">
        <f>VLOOKUP($A83,'Institution Evaluation'!$A$56:$K$346,9,0)&amp;""</f>
        <v>Critical Importance</v>
      </c>
      <c r="J83" s="4" t="str">
        <f>VLOOKUP($A83,'Institution Evaluation'!$A$56:$K$346,10,0)&amp;""</f>
        <v/>
      </c>
      <c r="K83" s="4">
        <f t="shared" si="19"/>
        <v>20</v>
      </c>
      <c r="L83" s="108">
        <f>IF($E83="Not Scored", "N/A",IF(AND($D83='Auto Responses'!$J$27,$H83=""),"N/A",IF(AND($D83='Auto Responses'!$J$27,$H83='Auto Responses'!$J$7),1,IF(AND($D83='Auto Responses'!$J$27,$H83='Auto Responses'!$J$8),0,IF(OR($F83=$G83,$H83='Auto Responses'!$J$7),1,0)))))</f>
        <v>0</v>
      </c>
      <c r="M83" s="4" t="str">
        <f>VLOOKUP($A83,'Institution Evaluation'!$A$56:$K$346,10,0)&amp;""</f>
        <v/>
      </c>
      <c r="N83" s="4">
        <f t="shared" si="20"/>
        <v>1</v>
      </c>
      <c r="O83" s="108">
        <f t="shared" si="24"/>
        <v>20</v>
      </c>
      <c r="P83" s="108">
        <f t="shared" si="21"/>
        <v>0</v>
      </c>
      <c r="Q83" s="108">
        <f t="shared" si="14"/>
        <v>0</v>
      </c>
      <c r="R83" s="108">
        <f t="shared" si="22"/>
        <v>0</v>
      </c>
      <c r="S83" s="108">
        <f t="shared" si="15"/>
        <v>0</v>
      </c>
      <c r="T83" s="108">
        <f t="shared" si="16"/>
        <v>1</v>
      </c>
      <c r="U83" s="108">
        <f t="shared" si="23"/>
        <v>28</v>
      </c>
      <c r="V83" s="108">
        <f t="shared" si="17"/>
        <v>28</v>
      </c>
    </row>
    <row r="84" spans="1:22" ht="57" x14ac:dyDescent="0.2">
      <c r="A84" s="4" t="str">
        <f>Questions!$A84</f>
        <v>AAAI-07</v>
      </c>
      <c r="B84" s="4" t="str">
        <f t="shared" si="18"/>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Evaluation'!$A$56:$K$346,3,0)&amp;""</f>
        <v>No</v>
      </c>
      <c r="G84" s="4" t="str">
        <f>VLOOKUP($A84,'Institution Evaluation'!$A$56:$K$346,7,0)&amp;""</f>
        <v>No</v>
      </c>
      <c r="H84" s="4" t="str">
        <f>VLOOKUP($A84,'Institution Evaluation'!$A$56:$K$346,8,0)&amp;""</f>
        <v/>
      </c>
      <c r="I84" s="4" t="str">
        <f>VLOOKUP($A84,'Institution Evaluation'!$A$56:$K$346,9,0)&amp;""</f>
        <v>Critical Importance</v>
      </c>
      <c r="J84" s="4" t="str">
        <f>VLOOKUP($A84,'Institution Evaluation'!$A$56:$K$346,10,0)&amp;""</f>
        <v/>
      </c>
      <c r="K84" s="4">
        <f t="shared" si="19"/>
        <v>20</v>
      </c>
      <c r="L84" s="108">
        <f>IF($E84="Not Scored", "N/A",IF(AND($D84='Auto Responses'!$J$27,$H84=""),"N/A",IF(AND($D84='Auto Responses'!$J$27,$H84='Auto Responses'!$J$7),1,IF(AND($D84='Auto Responses'!$J$27,$H84='Auto Responses'!$J$8),0,IF(OR($F84=$G84,$H84='Auto Responses'!$J$7),1,0)))))</f>
        <v>1</v>
      </c>
      <c r="M84" s="4" t="str">
        <f>VLOOKUP($A84,'Institution Evaluation'!$A$56:$K$346,10,0)&amp;""</f>
        <v/>
      </c>
      <c r="N84" s="4">
        <f t="shared" si="20"/>
        <v>1</v>
      </c>
      <c r="O84" s="108">
        <f t="shared" si="24"/>
        <v>20</v>
      </c>
      <c r="P84" s="108">
        <f t="shared" si="21"/>
        <v>20</v>
      </c>
      <c r="Q84" s="108">
        <f t="shared" si="14"/>
        <v>0</v>
      </c>
      <c r="R84" s="108">
        <f t="shared" si="22"/>
        <v>0</v>
      </c>
      <c r="S84" s="108">
        <f t="shared" si="15"/>
        <v>0</v>
      </c>
      <c r="T84" s="108">
        <f t="shared" si="16"/>
        <v>1</v>
      </c>
      <c r="U84" s="108">
        <f t="shared" si="23"/>
        <v>29</v>
      </c>
      <c r="V84" s="108">
        <f t="shared" si="17"/>
        <v>29</v>
      </c>
    </row>
    <row r="85" spans="1:22" ht="57" x14ac:dyDescent="0.2">
      <c r="A85" s="4" t="str">
        <f>Questions!$A85</f>
        <v>AAAI-08</v>
      </c>
      <c r="B85" s="4" t="str">
        <f t="shared" si="18"/>
        <v>AAAI</v>
      </c>
      <c r="C85" s="4" t="str">
        <f>VLOOKUP($A85,Questions!$A$3:$L$333,2,0)&amp;""</f>
        <v>Are you storing any passwords in plaintext?*</v>
      </c>
      <c r="D85" s="4" t="str">
        <f>VLOOKUP($A85,Questions!$A$3:$L$333,11,0)&amp;""</f>
        <v/>
      </c>
      <c r="E85" s="4" t="str">
        <f>VLOOKUP($A85,Questions!$A$3:$L$333,12,0)&amp;""</f>
        <v>Product</v>
      </c>
      <c r="F85" s="4" t="str">
        <f>VLOOKUP($A85,'Institution Evaluation'!$A$56:$K$346,3,0)&amp;""</f>
        <v>No</v>
      </c>
      <c r="G85" s="4" t="str">
        <f>VLOOKUP($A85,'Institution Evaluation'!$A$56:$K$346,7,0)&amp;""</f>
        <v>No</v>
      </c>
      <c r="H85" s="4" t="str">
        <f>VLOOKUP($A85,'Institution Evaluation'!$A$56:$K$346,8,0)&amp;""</f>
        <v/>
      </c>
      <c r="I85" s="4" t="str">
        <f>VLOOKUP($A85,'Institution Evaluation'!$A$56:$K$346,9,0)&amp;""</f>
        <v>Critical Importance</v>
      </c>
      <c r="J85" s="4" t="str">
        <f>VLOOKUP($A85,'Institution Evaluation'!$A$56:$K$346,10,0)&amp;""</f>
        <v/>
      </c>
      <c r="K85" s="4">
        <f t="shared" si="19"/>
        <v>20</v>
      </c>
      <c r="L85" s="108">
        <f>IF($E85="Not Scored", "N/A",IF(AND($D85='Auto Responses'!$J$27,$H85=""),"N/A",IF(AND($D85='Auto Responses'!$J$27,$H85='Auto Responses'!$J$7),1,IF(AND($D85='Auto Responses'!$J$27,$H85='Auto Responses'!$J$8),0,IF(OR($F85=$G85,$H85='Auto Responses'!$J$7),1,0)))))</f>
        <v>1</v>
      </c>
      <c r="M85" s="4" t="str">
        <f>VLOOKUP($A85,'Institution Evaluation'!$A$56:$K$346,10,0)&amp;""</f>
        <v/>
      </c>
      <c r="N85" s="4">
        <f t="shared" si="20"/>
        <v>1</v>
      </c>
      <c r="O85" s="108">
        <f t="shared" si="24"/>
        <v>20</v>
      </c>
      <c r="P85" s="108">
        <f t="shared" si="21"/>
        <v>20</v>
      </c>
      <c r="Q85" s="108">
        <f t="shared" si="14"/>
        <v>0</v>
      </c>
      <c r="R85" s="108">
        <f t="shared" si="22"/>
        <v>0</v>
      </c>
      <c r="S85" s="108">
        <f t="shared" si="15"/>
        <v>0</v>
      </c>
      <c r="T85" s="108">
        <f t="shared" si="16"/>
        <v>1</v>
      </c>
      <c r="U85" s="108">
        <f t="shared" si="23"/>
        <v>30</v>
      </c>
      <c r="V85" s="108">
        <f t="shared" si="17"/>
        <v>30</v>
      </c>
    </row>
    <row r="86" spans="1:22" ht="57" x14ac:dyDescent="0.2">
      <c r="A86" s="4" t="str">
        <f>Questions!$A86</f>
        <v>AAAI-09</v>
      </c>
      <c r="B86" s="4" t="str">
        <f t="shared" si="18"/>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Evaluation'!$A$56:$K$346,3,0)&amp;""</f>
        <v>No</v>
      </c>
      <c r="G86" s="4" t="str">
        <f>VLOOKUP($A86,'Institution Evaluation'!$A$56:$K$346,7,0)&amp;""</f>
        <v>Yes</v>
      </c>
      <c r="H86" s="4" t="str">
        <f>VLOOKUP($A86,'Institution Evaluation'!$A$56:$K$346,8,0)&amp;""</f>
        <v/>
      </c>
      <c r="I86" s="4" t="str">
        <f>VLOOKUP($A86,'Institution Evaluation'!$A$56:$K$346,9,0)&amp;""</f>
        <v>Critical Importance</v>
      </c>
      <c r="J86" s="4" t="str">
        <f>VLOOKUP($A86,'Institution Evaluation'!$A$56:$K$346,10,0)&amp;""</f>
        <v/>
      </c>
      <c r="K86" s="4">
        <f t="shared" si="19"/>
        <v>20</v>
      </c>
      <c r="L86" s="108">
        <f>IF($E86="Not Scored", "N/A",IF(AND($D86='Auto Responses'!$J$27,$H86=""),"N/A",IF(AND($D86='Auto Responses'!$J$27,$H86='Auto Responses'!$J$7),1,IF(AND($D86='Auto Responses'!$J$27,$H86='Auto Responses'!$J$8),0,IF(OR($F86=$G86,$H86='Auto Responses'!$J$7),1,0)))))</f>
        <v>0</v>
      </c>
      <c r="M86" s="4" t="str">
        <f>VLOOKUP($A86,'Institution Evaluation'!$A$56:$K$346,10,0)&amp;""</f>
        <v/>
      </c>
      <c r="N86" s="4">
        <f t="shared" si="20"/>
        <v>1</v>
      </c>
      <c r="O86" s="108">
        <f t="shared" si="24"/>
        <v>20</v>
      </c>
      <c r="P86" s="108">
        <f t="shared" si="21"/>
        <v>0</v>
      </c>
      <c r="Q86" s="108">
        <f t="shared" si="14"/>
        <v>0</v>
      </c>
      <c r="R86" s="108">
        <f t="shared" si="22"/>
        <v>0</v>
      </c>
      <c r="S86" s="108">
        <f t="shared" si="15"/>
        <v>0</v>
      </c>
      <c r="T86" s="108">
        <f t="shared" si="16"/>
        <v>1</v>
      </c>
      <c r="U86" s="108">
        <f t="shared" si="23"/>
        <v>31</v>
      </c>
      <c r="V86" s="108">
        <f t="shared" si="17"/>
        <v>31</v>
      </c>
    </row>
    <row r="87" spans="1:22" ht="114" x14ac:dyDescent="0.2">
      <c r="A87" s="4" t="str">
        <f>Questions!$A87</f>
        <v>AAAI-10</v>
      </c>
      <c r="B87" s="4" t="str">
        <f t="shared" si="18"/>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Evaluation'!$A$56:$K$346,3,0)&amp;""</f>
        <v/>
      </c>
      <c r="G87" s="4" t="str">
        <f>VLOOKUP($A87,'Institution Evaluation'!$A$56:$K$346,7,0)&amp;""</f>
        <v>Not scored</v>
      </c>
      <c r="H87" s="4" t="str">
        <f>VLOOKUP($A87,'Institution Evaluation'!$A$56:$K$346,8,0)&amp;""</f>
        <v/>
      </c>
      <c r="I87" s="4" t="str">
        <f>VLOOKUP($A87,'Institution Evaluation'!$A$56:$K$346,9,0)&amp;""</f>
        <v/>
      </c>
      <c r="J87" s="4" t="str">
        <f>VLOOKUP($A87,'Institution Evaluation'!$A$56:$K$346,10,0)&amp;""</f>
        <v/>
      </c>
      <c r="K87" s="4">
        <f t="shared" si="19"/>
        <v>10</v>
      </c>
      <c r="L87" s="108" t="str">
        <f>IF($E87="Not Scored", "N/A",IF(AND($D87='Auto Responses'!$J$27,$H87=""),"N/A",IF(AND($D87='Auto Responses'!$J$27,$H87='Auto Responses'!$J$7),1,IF(AND($D87='Auto Responses'!$J$27,$H87='Auto Responses'!$J$8),0,IF(OR($F87=$G87,$H87='Auto Responses'!$J$7),1,0)))))</f>
        <v>N/A</v>
      </c>
      <c r="M87" s="4" t="str">
        <f>VLOOKUP($A87,'Institution Evaluation'!$A$56:$K$346,10,0)&amp;""</f>
        <v/>
      </c>
      <c r="N87" s="4">
        <f t="shared" si="20"/>
        <v>0</v>
      </c>
      <c r="O87" s="108" t="str">
        <f t="shared" si="24"/>
        <v>N/A</v>
      </c>
      <c r="P87" s="108" t="str">
        <f t="shared" si="21"/>
        <v>N/A</v>
      </c>
      <c r="Q87" s="108">
        <f t="shared" si="14"/>
        <v>0</v>
      </c>
      <c r="R87" s="108">
        <f t="shared" si="22"/>
        <v>0</v>
      </c>
      <c r="S87" s="108">
        <f t="shared" si="15"/>
        <v>0</v>
      </c>
      <c r="T87" s="108">
        <f t="shared" si="16"/>
        <v>0</v>
      </c>
      <c r="U87" s="108">
        <f t="shared" si="23"/>
        <v>31</v>
      </c>
      <c r="V87" s="108">
        <f t="shared" si="17"/>
        <v>0</v>
      </c>
    </row>
    <row r="88" spans="1:22" ht="57" x14ac:dyDescent="0.2">
      <c r="A88" s="4" t="str">
        <f>Questions!$A88</f>
        <v>AAAI-11</v>
      </c>
      <c r="B88" s="4" t="str">
        <f t="shared" si="18"/>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Evaluation'!$A$56:$K$346,3,0)&amp;""</f>
        <v>No</v>
      </c>
      <c r="G88" s="4" t="str">
        <f>VLOOKUP($A88,'Institution Evaluation'!$A$56:$K$346,7,0)&amp;""</f>
        <v>Yes</v>
      </c>
      <c r="H88" s="4" t="str">
        <f>VLOOKUP($A88,'Institution Evaluation'!$A$56:$K$346,8,0)&amp;""</f>
        <v/>
      </c>
      <c r="I88" s="4" t="str">
        <f>VLOOKUP($A88,'Institution Evaluation'!$A$56:$K$346,9,0)&amp;""</f>
        <v>Critical Importance</v>
      </c>
      <c r="J88" s="4" t="str">
        <f>VLOOKUP($A88,'Institution Evaluation'!$A$56:$K$346,10,0)&amp;""</f>
        <v/>
      </c>
      <c r="K88" s="4">
        <f t="shared" si="19"/>
        <v>20</v>
      </c>
      <c r="L88" s="108">
        <f>IF($E88="Not Scored", "N/A",IF(AND($D88='Auto Responses'!$J$27,$H88=""),"N/A",IF(AND($D88='Auto Responses'!$J$27,$H88='Auto Responses'!$J$7),1,IF(AND($D88='Auto Responses'!$J$27,$H88='Auto Responses'!$J$8),0,IF(OR($F88=$G88,$H88='Auto Responses'!$J$7),1,0)))))</f>
        <v>0</v>
      </c>
      <c r="M88" s="4" t="str">
        <f>VLOOKUP($A88,'Institution Evaluation'!$A$56:$K$346,10,0)&amp;""</f>
        <v/>
      </c>
      <c r="N88" s="4">
        <f t="shared" si="20"/>
        <v>1</v>
      </c>
      <c r="O88" s="108">
        <f t="shared" si="24"/>
        <v>20</v>
      </c>
      <c r="P88" s="108">
        <f t="shared" si="21"/>
        <v>0</v>
      </c>
      <c r="Q88" s="108">
        <f t="shared" si="14"/>
        <v>0</v>
      </c>
      <c r="R88" s="108">
        <f t="shared" si="22"/>
        <v>0</v>
      </c>
      <c r="S88" s="108">
        <f t="shared" si="15"/>
        <v>0</v>
      </c>
      <c r="T88" s="108">
        <f t="shared" si="16"/>
        <v>1</v>
      </c>
      <c r="U88" s="108">
        <f t="shared" si="23"/>
        <v>32</v>
      </c>
      <c r="V88" s="108">
        <f t="shared" si="17"/>
        <v>32</v>
      </c>
    </row>
    <row r="89" spans="1:22" ht="57" x14ac:dyDescent="0.2">
      <c r="A89" s="4" t="str">
        <f>Questions!$A89</f>
        <v>AAAI-12</v>
      </c>
      <c r="B89" s="4" t="str">
        <f t="shared" si="18"/>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Evaluation'!$A$56:$K$346,3,0)&amp;""</f>
        <v>No</v>
      </c>
      <c r="G89" s="4" t="str">
        <f>VLOOKUP($A89,'Institution Evaluation'!$A$56:$K$346,7,0)&amp;""</f>
        <v>Yes</v>
      </c>
      <c r="H89" s="4" t="str">
        <f>VLOOKUP($A89,'Institution Evaluation'!$A$56:$K$346,8,0)&amp;""</f>
        <v/>
      </c>
      <c r="I89" s="4" t="str">
        <f>VLOOKUP($A89,'Institution Evaluation'!$A$56:$K$346,9,0)&amp;""</f>
        <v>Standard Importance</v>
      </c>
      <c r="J89" s="4" t="str">
        <f>VLOOKUP($A89,'Institution Evaluation'!$A$56:$K$346,10,0)&amp;""</f>
        <v/>
      </c>
      <c r="K89" s="4">
        <f t="shared" si="19"/>
        <v>10</v>
      </c>
      <c r="L89" s="108">
        <f>IF($E89="Not Scored", "N/A",IF(AND($D89='Auto Responses'!$J$27,$H89=""),"N/A",IF(AND($D89='Auto Responses'!$J$27,$H89='Auto Responses'!$J$7),1,IF(AND($D89='Auto Responses'!$J$27,$H89='Auto Responses'!$J$8),0,IF(OR($F89=$G89,$H89='Auto Responses'!$J$7),1,0)))))</f>
        <v>0</v>
      </c>
      <c r="M89" s="4" t="str">
        <f>VLOOKUP($A89,'Institution Evaluation'!$A$56:$K$346,10,0)&amp;""</f>
        <v/>
      </c>
      <c r="N89" s="4">
        <f t="shared" si="20"/>
        <v>0</v>
      </c>
      <c r="O89" s="108">
        <f t="shared" si="24"/>
        <v>10</v>
      </c>
      <c r="P89" s="108">
        <f t="shared" si="21"/>
        <v>0</v>
      </c>
      <c r="Q89" s="108">
        <f t="shared" si="14"/>
        <v>0</v>
      </c>
      <c r="R89" s="108">
        <f t="shared" si="22"/>
        <v>0</v>
      </c>
      <c r="S89" s="108">
        <f t="shared" si="15"/>
        <v>0</v>
      </c>
      <c r="T89" s="108">
        <f t="shared" si="16"/>
        <v>0</v>
      </c>
      <c r="U89" s="108">
        <f t="shared" si="23"/>
        <v>32</v>
      </c>
      <c r="V89" s="108">
        <f t="shared" si="17"/>
        <v>0</v>
      </c>
    </row>
    <row r="90" spans="1:22" ht="57" x14ac:dyDescent="0.2">
      <c r="A90" s="4" t="str">
        <f>Questions!$A90</f>
        <v>AAAI-13</v>
      </c>
      <c r="B90" s="4" t="str">
        <f t="shared" si="18"/>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Evaluation'!$A$56:$K$346,3,0)&amp;""</f>
        <v>No</v>
      </c>
      <c r="G90" s="4" t="str">
        <f>VLOOKUP($A90,'Institution Evaluation'!$A$56:$K$346,7,0)&amp;""</f>
        <v>Yes</v>
      </c>
      <c r="H90" s="4" t="str">
        <f>VLOOKUP($A90,'Institution Evaluation'!$A$56:$K$346,8,0)&amp;""</f>
        <v/>
      </c>
      <c r="I90" s="4" t="str">
        <f>VLOOKUP($A90,'Institution Evaluation'!$A$56:$K$346,9,0)&amp;""</f>
        <v>Standard Importance</v>
      </c>
      <c r="J90" s="4" t="str">
        <f>VLOOKUP($A90,'Institution Evaluation'!$A$56:$K$346,10,0)&amp;""</f>
        <v/>
      </c>
      <c r="K90" s="4">
        <f t="shared" si="19"/>
        <v>10</v>
      </c>
      <c r="L90" s="108">
        <f>IF($E90="Not Scored", "N/A",IF(AND($D90='Auto Responses'!$J$27,$H90=""),"N/A",IF(AND($D90='Auto Responses'!$J$27,$H90='Auto Responses'!$J$7),1,IF(AND($D90='Auto Responses'!$J$27,$H90='Auto Responses'!$J$8),0,IF(OR($F90=$G90,$H90='Auto Responses'!$J$7),1,0)))))</f>
        <v>0</v>
      </c>
      <c r="M90" s="4" t="str">
        <f>VLOOKUP($A90,'Institution Evaluation'!$A$56:$K$346,10,0)&amp;""</f>
        <v/>
      </c>
      <c r="N90" s="4">
        <f t="shared" si="20"/>
        <v>0</v>
      </c>
      <c r="O90" s="108">
        <f t="shared" si="24"/>
        <v>10</v>
      </c>
      <c r="P90" s="108">
        <f t="shared" si="21"/>
        <v>0</v>
      </c>
      <c r="Q90" s="108">
        <f t="shared" si="14"/>
        <v>0</v>
      </c>
      <c r="R90" s="108">
        <f t="shared" si="22"/>
        <v>0</v>
      </c>
      <c r="S90" s="108">
        <f t="shared" si="15"/>
        <v>0</v>
      </c>
      <c r="T90" s="108">
        <f t="shared" si="16"/>
        <v>0</v>
      </c>
      <c r="U90" s="108">
        <f t="shared" si="23"/>
        <v>32</v>
      </c>
      <c r="V90" s="108">
        <f t="shared" si="17"/>
        <v>0</v>
      </c>
    </row>
    <row r="91" spans="1:22" ht="57" x14ac:dyDescent="0.2">
      <c r="A91" s="4" t="str">
        <f>Questions!$A91</f>
        <v>AAAI-14</v>
      </c>
      <c r="B91" s="4" t="str">
        <f t="shared" si="18"/>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Evaluation'!$A$56:$K$346,3,0)&amp;""</f>
        <v>No</v>
      </c>
      <c r="G91" s="4" t="str">
        <f>VLOOKUP($A91,'Institution Evaluation'!$A$56:$K$346,7,0)&amp;""</f>
        <v>Yes</v>
      </c>
      <c r="H91" s="4" t="str">
        <f>VLOOKUP($A91,'Institution Evaluation'!$A$56:$K$346,8,0)&amp;""</f>
        <v/>
      </c>
      <c r="I91" s="4" t="str">
        <f>VLOOKUP($A91,'Institution Evaluation'!$A$56:$K$346,9,0)&amp;""</f>
        <v>Standard Importance</v>
      </c>
      <c r="J91" s="4" t="str">
        <f>VLOOKUP($A91,'Institution Evaluation'!$A$56:$K$346,10,0)&amp;""</f>
        <v/>
      </c>
      <c r="K91" s="4">
        <f t="shared" si="19"/>
        <v>10</v>
      </c>
      <c r="L91" s="108">
        <f>IF($E91="Not Scored", "N/A",IF(AND($D91='Auto Responses'!$J$27,$H91=""),"N/A",IF(AND($D91='Auto Responses'!$J$27,$H91='Auto Responses'!$J$7),1,IF(AND($D91='Auto Responses'!$J$27,$H91='Auto Responses'!$J$8),0,IF(OR($F91=$G91,$H91='Auto Responses'!$J$7),1,0)))))</f>
        <v>0</v>
      </c>
      <c r="M91" s="4" t="str">
        <f>VLOOKUP($A91,'Institution Evaluation'!$A$56:$K$346,10,0)&amp;""</f>
        <v/>
      </c>
      <c r="N91" s="4">
        <f t="shared" si="20"/>
        <v>0</v>
      </c>
      <c r="O91" s="108">
        <f t="shared" si="24"/>
        <v>10</v>
      </c>
      <c r="P91" s="108">
        <f t="shared" si="21"/>
        <v>0</v>
      </c>
      <c r="Q91" s="108">
        <f t="shared" si="14"/>
        <v>0</v>
      </c>
      <c r="R91" s="108">
        <f t="shared" si="22"/>
        <v>0</v>
      </c>
      <c r="S91" s="108">
        <f t="shared" si="15"/>
        <v>0</v>
      </c>
      <c r="T91" s="108">
        <f t="shared" si="16"/>
        <v>0</v>
      </c>
      <c r="U91" s="108">
        <f t="shared" si="23"/>
        <v>32</v>
      </c>
      <c r="V91" s="108">
        <f t="shared" si="17"/>
        <v>0</v>
      </c>
    </row>
    <row r="92" spans="1:22" ht="57" x14ac:dyDescent="0.2">
      <c r="A92" s="4" t="str">
        <f>Questions!$A92</f>
        <v>AAAI-15</v>
      </c>
      <c r="B92" s="4" t="str">
        <f t="shared" si="18"/>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Evaluation'!$A$56:$K$346,3,0)&amp;""</f>
        <v>No</v>
      </c>
      <c r="G92" s="4" t="str">
        <f>VLOOKUP($A92,'Institution Evaluation'!$A$56:$K$346,7,0)&amp;""</f>
        <v>Yes</v>
      </c>
      <c r="H92" s="4" t="str">
        <f>VLOOKUP($A92,'Institution Evaluation'!$A$56:$K$346,8,0)&amp;""</f>
        <v/>
      </c>
      <c r="I92" s="4" t="str">
        <f>VLOOKUP($A92,'Institution Evaluation'!$A$56:$K$346,9,0)&amp;""</f>
        <v>Minor Importance</v>
      </c>
      <c r="J92" s="4" t="str">
        <f>VLOOKUP($A92,'Institution Evaluation'!$A$56:$K$346,10,0)&amp;""</f>
        <v/>
      </c>
      <c r="K92" s="4">
        <f t="shared" si="19"/>
        <v>5</v>
      </c>
      <c r="L92" s="108">
        <f>IF($E92="Not Scored", "N/A",IF(AND($D92='Auto Responses'!$J$27,$H92=""),"N/A",IF(AND($D92='Auto Responses'!$J$27,$H92='Auto Responses'!$J$7),1,IF(AND($D92='Auto Responses'!$J$27,$H92='Auto Responses'!$J$8),0,IF(OR($F92=$G92,$H92='Auto Responses'!$J$7),1,0)))))</f>
        <v>0</v>
      </c>
      <c r="M92" s="4" t="str">
        <f>VLOOKUP($A92,'Institution Evaluation'!$A$56:$K$346,10,0)&amp;""</f>
        <v/>
      </c>
      <c r="N92" s="4">
        <f t="shared" si="20"/>
        <v>0</v>
      </c>
      <c r="O92" s="108">
        <f t="shared" si="24"/>
        <v>5</v>
      </c>
      <c r="P92" s="108">
        <f t="shared" si="21"/>
        <v>0</v>
      </c>
      <c r="Q92" s="108">
        <f t="shared" si="14"/>
        <v>0</v>
      </c>
      <c r="R92" s="108">
        <f t="shared" si="22"/>
        <v>0</v>
      </c>
      <c r="S92" s="108">
        <f t="shared" si="15"/>
        <v>0</v>
      </c>
      <c r="T92" s="108">
        <f t="shared" si="16"/>
        <v>0</v>
      </c>
      <c r="U92" s="108">
        <f t="shared" si="23"/>
        <v>32</v>
      </c>
      <c r="V92" s="108">
        <f t="shared" si="17"/>
        <v>0</v>
      </c>
    </row>
    <row r="93" spans="1:22" ht="57" x14ac:dyDescent="0.2">
      <c r="A93" s="4" t="str">
        <f>Questions!$A93</f>
        <v>AAAI-16</v>
      </c>
      <c r="B93" s="4" t="str">
        <f t="shared" si="18"/>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Evaluation'!$A$56:$K$346,3,0)&amp;""</f>
        <v>Yes</v>
      </c>
      <c r="G93" s="4" t="str">
        <f>VLOOKUP($A93,'Institution Evaluation'!$A$56:$K$346,7,0)&amp;""</f>
        <v>Yes</v>
      </c>
      <c r="H93" s="4" t="str">
        <f>VLOOKUP($A93,'Institution Evaluation'!$A$56:$K$346,8,0)&amp;""</f>
        <v/>
      </c>
      <c r="I93" s="4" t="str">
        <f>VLOOKUP($A93,'Institution Evaluation'!$A$56:$K$346,9,0)&amp;""</f>
        <v>Minor Importance</v>
      </c>
      <c r="J93" s="4" t="str">
        <f>VLOOKUP($A93,'Institution Evaluation'!$A$56:$K$346,10,0)&amp;""</f>
        <v/>
      </c>
      <c r="K93" s="4">
        <f t="shared" si="19"/>
        <v>5</v>
      </c>
      <c r="L93" s="108">
        <f>IF($E93="Not Scored", "N/A",IF(AND($D93='Auto Responses'!$J$27,$H93=""),"N/A",IF(AND($D93='Auto Responses'!$J$27,$H93='Auto Responses'!$J$7),1,IF(AND($D93='Auto Responses'!$J$27,$H93='Auto Responses'!$J$8),0,IF(OR($F93=$G93,$H93='Auto Responses'!$J$7),1,0)))))</f>
        <v>1</v>
      </c>
      <c r="M93" s="4" t="str">
        <f>VLOOKUP($A93,'Institution Evaluation'!$A$56:$K$346,10,0)&amp;""</f>
        <v/>
      </c>
      <c r="N93" s="4">
        <f t="shared" si="20"/>
        <v>0</v>
      </c>
      <c r="O93" s="108">
        <f t="shared" si="24"/>
        <v>5</v>
      </c>
      <c r="P93" s="108">
        <f t="shared" si="21"/>
        <v>5</v>
      </c>
      <c r="Q93" s="108">
        <f t="shared" si="14"/>
        <v>0</v>
      </c>
      <c r="R93" s="108">
        <f t="shared" si="22"/>
        <v>0</v>
      </c>
      <c r="S93" s="108">
        <f t="shared" si="15"/>
        <v>0</v>
      </c>
      <c r="T93" s="108">
        <f t="shared" si="16"/>
        <v>0</v>
      </c>
      <c r="U93" s="108">
        <f t="shared" si="23"/>
        <v>32</v>
      </c>
      <c r="V93" s="108">
        <f t="shared" si="17"/>
        <v>0</v>
      </c>
    </row>
    <row r="94" spans="1:22" ht="57" x14ac:dyDescent="0.2">
      <c r="A94" s="4" t="str">
        <f>Questions!$A94</f>
        <v>AAAI-17</v>
      </c>
      <c r="B94" s="4" t="str">
        <f t="shared" si="18"/>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Evaluation'!$A$56:$K$346,3,0)&amp;""</f>
        <v>No</v>
      </c>
      <c r="G94" s="4" t="str">
        <f>VLOOKUP($A94,'Institution Evaluation'!$A$56:$K$346,7,0)&amp;""</f>
        <v>Yes</v>
      </c>
      <c r="H94" s="4" t="str">
        <f>VLOOKUP($A94,'Institution Evaluation'!$A$56:$K$346,8,0)&amp;""</f>
        <v/>
      </c>
      <c r="I94" s="4" t="str">
        <f>VLOOKUP($A94,'Institution Evaluation'!$A$56:$K$346,9,0)&amp;""</f>
        <v>Minor Importance</v>
      </c>
      <c r="J94" s="4" t="str">
        <f>VLOOKUP($A94,'Institution Evaluation'!$A$56:$K$346,10,0)&amp;""</f>
        <v/>
      </c>
      <c r="K94" s="4">
        <f t="shared" si="19"/>
        <v>5</v>
      </c>
      <c r="L94" s="108">
        <f>IF($E94="Not Scored", "N/A",IF(AND($D94='Auto Responses'!$J$27,$H94=""),"N/A",IF(AND($D94='Auto Responses'!$J$27,$H94='Auto Responses'!$J$7),1,IF(AND($D94='Auto Responses'!$J$27,$H94='Auto Responses'!$J$8),0,IF(OR($F94=$G94,$H94='Auto Responses'!$J$7),1,0)))))</f>
        <v>0</v>
      </c>
      <c r="M94" s="4" t="str">
        <f>VLOOKUP($A94,'Institution Evaluation'!$A$56:$K$346,10,0)&amp;""</f>
        <v/>
      </c>
      <c r="N94" s="4">
        <f t="shared" si="20"/>
        <v>0</v>
      </c>
      <c r="O94" s="108">
        <f t="shared" si="24"/>
        <v>5</v>
      </c>
      <c r="P94" s="108">
        <f t="shared" si="21"/>
        <v>0</v>
      </c>
      <c r="Q94" s="108">
        <f t="shared" si="14"/>
        <v>0</v>
      </c>
      <c r="R94" s="108">
        <f t="shared" si="22"/>
        <v>0</v>
      </c>
      <c r="S94" s="108">
        <f t="shared" si="15"/>
        <v>0</v>
      </c>
      <c r="T94" s="108">
        <f t="shared" si="16"/>
        <v>0</v>
      </c>
      <c r="U94" s="108">
        <f t="shared" si="23"/>
        <v>32</v>
      </c>
      <c r="V94" s="108">
        <f t="shared" si="17"/>
        <v>0</v>
      </c>
    </row>
    <row r="95" spans="1:22" ht="57" x14ac:dyDescent="0.2">
      <c r="A95" s="4" t="str">
        <f>Questions!$A95</f>
        <v>AAAI-18</v>
      </c>
      <c r="B95" s="4" t="str">
        <f t="shared" si="18"/>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Evaluation'!$A$56:$K$346,3,0)&amp;""</f>
        <v>Yes</v>
      </c>
      <c r="G95" s="4" t="str">
        <f>VLOOKUP($A95,'Institution Evaluation'!$A$56:$K$346,7,0)&amp;""</f>
        <v>Yes</v>
      </c>
      <c r="H95" s="4" t="str">
        <f>VLOOKUP($A95,'Institution Evaluation'!$A$56:$K$346,8,0)&amp;""</f>
        <v/>
      </c>
      <c r="I95" s="4" t="str">
        <f>VLOOKUP($A95,'Institution Evaluation'!$A$56:$K$346,9,0)&amp;""</f>
        <v>Minor Importance</v>
      </c>
      <c r="J95" s="4" t="str">
        <f>VLOOKUP($A95,'Institution Evaluation'!$A$56:$K$346,10,0)&amp;""</f>
        <v/>
      </c>
      <c r="K95" s="4">
        <f t="shared" si="19"/>
        <v>5</v>
      </c>
      <c r="L95" s="108">
        <f>IF($E95="Not Scored", "N/A",IF(AND($D95='Auto Responses'!$J$27,$H95=""),"N/A",IF(AND($D95='Auto Responses'!$J$27,$H95='Auto Responses'!$J$7),1,IF(AND($D95='Auto Responses'!$J$27,$H95='Auto Responses'!$J$8),0,IF(OR($F95=$G95,$H95='Auto Responses'!$J$7),1,0)))))</f>
        <v>1</v>
      </c>
      <c r="M95" s="4" t="str">
        <f>VLOOKUP($A95,'Institution Evaluation'!$A$56:$K$346,10,0)&amp;""</f>
        <v/>
      </c>
      <c r="N95" s="4">
        <f t="shared" si="20"/>
        <v>0</v>
      </c>
      <c r="O95" s="108">
        <f t="shared" si="24"/>
        <v>5</v>
      </c>
      <c r="P95" s="108">
        <f t="shared" si="21"/>
        <v>5</v>
      </c>
      <c r="Q95" s="108">
        <f t="shared" si="14"/>
        <v>0</v>
      </c>
      <c r="R95" s="108">
        <f t="shared" si="22"/>
        <v>0</v>
      </c>
      <c r="S95" s="108">
        <f t="shared" si="15"/>
        <v>0</v>
      </c>
      <c r="T95" s="108">
        <f t="shared" si="16"/>
        <v>0</v>
      </c>
      <c r="U95" s="108">
        <f t="shared" si="23"/>
        <v>32</v>
      </c>
      <c r="V95" s="108">
        <f t="shared" si="17"/>
        <v>0</v>
      </c>
    </row>
    <row r="96" spans="1:22" ht="57" x14ac:dyDescent="0.2">
      <c r="A96" s="4" t="str">
        <f>Questions!$A96</f>
        <v>CHNG-01</v>
      </c>
      <c r="B96" s="4" t="str">
        <f t="shared" si="18"/>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Evaluation'!$A$56:$K$346,3,0)&amp;""</f>
        <v>Yes</v>
      </c>
      <c r="G96" s="4" t="str">
        <f>VLOOKUP($A96,'Institution Evaluation'!$A$56:$K$346,7,0)&amp;""</f>
        <v>Yes</v>
      </c>
      <c r="H96" s="4" t="str">
        <f>VLOOKUP($A96,'Institution Evaluation'!$A$56:$K$346,8,0)&amp;""</f>
        <v/>
      </c>
      <c r="I96" s="4" t="str">
        <f>VLOOKUP($A96,'Institution Evaluation'!$A$56:$K$346,9,0)&amp;""</f>
        <v>Critical Importance</v>
      </c>
      <c r="J96" s="4" t="str">
        <f>VLOOKUP($A96,'Institution Evaluation'!$A$56:$K$346,10,0)&amp;""</f>
        <v/>
      </c>
      <c r="K96" s="4">
        <f t="shared" si="19"/>
        <v>20</v>
      </c>
      <c r="L96" s="108">
        <f>IF($E96="Not Scored", "N/A",IF(AND($D96='Auto Responses'!$J$27,$H96=""),"N/A",IF(AND($D96='Auto Responses'!$J$27,$H96='Auto Responses'!$J$7),1,IF(AND($D96='Auto Responses'!$J$27,$H96='Auto Responses'!$J$8),0,IF(OR($F96=$G96,$H96='Auto Responses'!$J$7),1,0)))))</f>
        <v>1</v>
      </c>
      <c r="M96" s="4" t="str">
        <f>VLOOKUP($A96,'Institution Evaluation'!$A$56:$K$346,10,0)&amp;""</f>
        <v/>
      </c>
      <c r="N96" s="4">
        <f t="shared" si="20"/>
        <v>1</v>
      </c>
      <c r="O96" s="108">
        <f t="shared" si="24"/>
        <v>20</v>
      </c>
      <c r="P96" s="108">
        <f t="shared" si="21"/>
        <v>20</v>
      </c>
      <c r="Q96" s="108">
        <f t="shared" si="14"/>
        <v>0</v>
      </c>
      <c r="R96" s="108">
        <f t="shared" si="22"/>
        <v>0</v>
      </c>
      <c r="S96" s="108">
        <f t="shared" si="15"/>
        <v>0</v>
      </c>
      <c r="T96" s="108">
        <f t="shared" si="16"/>
        <v>1</v>
      </c>
      <c r="U96" s="108">
        <f t="shared" si="23"/>
        <v>33</v>
      </c>
      <c r="V96" s="108">
        <f t="shared" si="17"/>
        <v>33</v>
      </c>
    </row>
    <row r="97" spans="1:22" ht="57" x14ac:dyDescent="0.2">
      <c r="A97" s="4" t="str">
        <f>Questions!$A97</f>
        <v>CHNG-02</v>
      </c>
      <c r="B97" s="4" t="str">
        <f t="shared" si="18"/>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Evaluation'!$A$56:$K$346,3,0)&amp;""</f>
        <v>No</v>
      </c>
      <c r="G97" s="4" t="str">
        <f>VLOOKUP($A97,'Institution Evaluation'!$A$56:$K$346,7,0)&amp;""</f>
        <v>Yes</v>
      </c>
      <c r="H97" s="4" t="str">
        <f>VLOOKUP($A97,'Institution Evaluation'!$A$56:$K$346,8,0)&amp;""</f>
        <v/>
      </c>
      <c r="I97" s="4" t="str">
        <f>VLOOKUP($A97,'Institution Evaluation'!$A$56:$K$346,9,0)&amp;""</f>
        <v>Critical Importance</v>
      </c>
      <c r="J97" s="4" t="str">
        <f>VLOOKUP($A97,'Institution Evaluation'!$A$56:$K$346,10,0)&amp;""</f>
        <v/>
      </c>
      <c r="K97" s="4">
        <f t="shared" si="19"/>
        <v>20</v>
      </c>
      <c r="L97" s="108">
        <f>IF($E97="Not Scored", "N/A",IF(AND($D97='Auto Responses'!$J$27,$H97=""),"N/A",IF(AND($D97='Auto Responses'!$J$27,$H97='Auto Responses'!$J$7),1,IF(AND($D97='Auto Responses'!$J$27,$H97='Auto Responses'!$J$8),0,IF(OR($F97=$G97,$H97='Auto Responses'!$J$7),1,0)))))</f>
        <v>0</v>
      </c>
      <c r="M97" s="4" t="str">
        <f>VLOOKUP($A97,'Institution Evaluation'!$A$56:$K$346,10,0)&amp;""</f>
        <v/>
      </c>
      <c r="N97" s="4">
        <f t="shared" si="20"/>
        <v>1</v>
      </c>
      <c r="O97" s="108">
        <f>IF(OR($E97="Not Scored",$F97="N/A"),"N/A",IF($J97="",$K97,IF($J97="Minor Importance",5,IF($J97="Standard Importance",10,IF($J97="Critical Importance",20,0)))))</f>
        <v>20</v>
      </c>
      <c r="P97" s="108">
        <f t="shared" si="21"/>
        <v>0</v>
      </c>
      <c r="Q97" s="108">
        <f t="shared" si="14"/>
        <v>0</v>
      </c>
      <c r="R97" s="108">
        <f t="shared" si="22"/>
        <v>0</v>
      </c>
      <c r="S97" s="108">
        <f t="shared" si="15"/>
        <v>0</v>
      </c>
      <c r="T97" s="108">
        <f t="shared" si="16"/>
        <v>1</v>
      </c>
      <c r="U97" s="108">
        <f t="shared" si="23"/>
        <v>34</v>
      </c>
      <c r="V97" s="108">
        <f t="shared" si="17"/>
        <v>34</v>
      </c>
    </row>
    <row r="98" spans="1:22" ht="57" x14ac:dyDescent="0.2">
      <c r="A98" s="4" t="str">
        <f>Questions!$A98</f>
        <v>CHNG-03</v>
      </c>
      <c r="B98" s="4" t="str">
        <f t="shared" si="18"/>
        <v>CHNG</v>
      </c>
      <c r="C98" s="4" t="str">
        <f>VLOOKUP($A98,Questions!$A$3:$L$333,2,0)&amp;""</f>
        <v>Do you have an implemented system configuration management process (e.g.,secure "gold" images, etc.)?*</v>
      </c>
      <c r="D98" s="4" t="str">
        <f>VLOOKUP($A98,Questions!$A$3:$L$333,11,0)&amp;""</f>
        <v/>
      </c>
      <c r="E98" s="4" t="str">
        <f>VLOOKUP($A98,Questions!$A$3:$L$333,12,0)&amp;""</f>
        <v>Organization</v>
      </c>
      <c r="F98" s="4" t="str">
        <f>VLOOKUP($A98,'Institution Evaluation'!$A$56:$K$346,3,0)&amp;""</f>
        <v>No</v>
      </c>
      <c r="G98" s="4" t="str">
        <f>VLOOKUP($A98,'Institution Evaluation'!$A$56:$K$346,7,0)&amp;""</f>
        <v>Yes</v>
      </c>
      <c r="H98" s="4" t="str">
        <f>VLOOKUP($A98,'Institution Evaluation'!$A$56:$K$346,8,0)&amp;""</f>
        <v/>
      </c>
      <c r="I98" s="4" t="str">
        <f>VLOOKUP($A98,'Institution Evaluation'!$A$56:$K$346,9,0)&amp;""</f>
        <v>Critical Importance</v>
      </c>
      <c r="J98" s="4" t="str">
        <f>VLOOKUP($A98,'Institution Evaluation'!$A$56:$K$346,10,0)&amp;""</f>
        <v/>
      </c>
      <c r="K98" s="4">
        <f t="shared" si="19"/>
        <v>20</v>
      </c>
      <c r="L98" s="108">
        <f>IF($E98="Not Scored", "N/A",IF(AND($D98='Auto Responses'!$J$27,$H98=""),"N/A",IF(AND($D98='Auto Responses'!$J$27,$H98='Auto Responses'!$J$7),1,IF(AND($D98='Auto Responses'!$J$27,$H98='Auto Responses'!$J$8),0,IF(OR($F98=$G98,$H98='Auto Responses'!$J$7),1,0)))))</f>
        <v>0</v>
      </c>
      <c r="M98" s="4" t="str">
        <f>VLOOKUP($A98,'Institution Evaluation'!$A$56:$K$346,10,0)&amp;""</f>
        <v/>
      </c>
      <c r="N98" s="4">
        <f t="shared" si="20"/>
        <v>1</v>
      </c>
      <c r="O98" s="108">
        <f>IF(OR($E98="Not Scored",$F98="N/A"),"N/A",IF($J98="",$K98,IF($J98="Minor Importance",5,IF($J98="Standard Importance",10,IF($J98="Critical Importance",20,0)))))</f>
        <v>20</v>
      </c>
      <c r="P98" s="108">
        <f t="shared" si="21"/>
        <v>0</v>
      </c>
      <c r="Q98" s="108">
        <f t="shared" si="14"/>
        <v>0</v>
      </c>
      <c r="R98" s="108">
        <f t="shared" si="22"/>
        <v>0</v>
      </c>
      <c r="S98" s="108">
        <f t="shared" si="15"/>
        <v>0</v>
      </c>
      <c r="T98" s="108">
        <f t="shared" si="16"/>
        <v>1</v>
      </c>
      <c r="U98" s="108">
        <f t="shared" si="23"/>
        <v>35</v>
      </c>
      <c r="V98" s="108">
        <f t="shared" si="17"/>
        <v>35</v>
      </c>
    </row>
    <row r="99" spans="1:22" ht="57" x14ac:dyDescent="0.2">
      <c r="A99" s="4" t="str">
        <f>Questions!$A99</f>
        <v>CHNG-04</v>
      </c>
      <c r="B99" s="4" t="str">
        <f t="shared" si="18"/>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Evaluation'!$A$56:$K$346,3,0)&amp;""</f>
        <v>No</v>
      </c>
      <c r="G99" s="4" t="str">
        <f>VLOOKUP($A99,'Institution Evaluation'!$A$56:$K$346,7,0)&amp;""</f>
        <v>Yes</v>
      </c>
      <c r="H99" s="4" t="str">
        <f>VLOOKUP($A99,'Institution Evaluation'!$A$56:$K$346,8,0)&amp;""</f>
        <v/>
      </c>
      <c r="I99" s="4" t="str">
        <f>VLOOKUP($A99,'Institution Evaluation'!$A$56:$K$346,9,0)&amp;""</f>
        <v>Standard Importance</v>
      </c>
      <c r="J99" s="4" t="str">
        <f>VLOOKUP($A99,'Institution Evaluation'!$A$56:$K$346,10,0)&amp;""</f>
        <v/>
      </c>
      <c r="K99" s="4">
        <f t="shared" si="19"/>
        <v>10</v>
      </c>
      <c r="L99" s="108">
        <f>IF($E99="Not Scored", "N/A",IF(AND($D99='Auto Responses'!$J$27,$H99=""),"N/A",IF(AND($D99='Auto Responses'!$J$27,$H99='Auto Responses'!$J$7),1,IF(AND($D99='Auto Responses'!$J$27,$H99='Auto Responses'!$J$8),0,IF(OR($F99=$G99,$H99='Auto Responses'!$J$7),1,0)))))</f>
        <v>0</v>
      </c>
      <c r="M99" s="4" t="str">
        <f>VLOOKUP($A99,'Institution Evaluation'!$A$56:$K$346,10,0)&amp;""</f>
        <v/>
      </c>
      <c r="N99" s="4">
        <f t="shared" si="20"/>
        <v>0</v>
      </c>
      <c r="O99" s="108">
        <f t="shared" si="24"/>
        <v>10</v>
      </c>
      <c r="P99" s="108">
        <f t="shared" ref="P99:P130" si="25">IF(OR($O99="N/A",$L99="N/A"),"N/A",$O99*$L99)</f>
        <v>0</v>
      </c>
      <c r="Q99" s="108">
        <f t="shared" si="14"/>
        <v>0</v>
      </c>
      <c r="R99" s="108">
        <f t="shared" si="22"/>
        <v>0</v>
      </c>
      <c r="S99" s="108">
        <f t="shared" si="15"/>
        <v>0</v>
      </c>
      <c r="T99" s="108">
        <f t="shared" si="16"/>
        <v>0</v>
      </c>
      <c r="U99" s="108">
        <f t="shared" si="23"/>
        <v>35</v>
      </c>
      <c r="V99" s="108">
        <f t="shared" si="17"/>
        <v>0</v>
      </c>
    </row>
    <row r="100" spans="1:22" ht="57" x14ac:dyDescent="0.2">
      <c r="A100" s="4" t="str">
        <f>Questions!$A100</f>
        <v>CHNG-05</v>
      </c>
      <c r="B100" s="4" t="str">
        <f t="shared" si="18"/>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Evaluation'!$A$56:$K$346,3,0)&amp;""</f>
        <v>No</v>
      </c>
      <c r="G100" s="4" t="str">
        <f>VLOOKUP($A100,'Institution Evaluation'!$A$56:$K$346,7,0)&amp;""</f>
        <v>Yes</v>
      </c>
      <c r="H100" s="4" t="str">
        <f>VLOOKUP($A100,'Institution Evaluation'!$A$56:$K$346,8,0)&amp;""</f>
        <v/>
      </c>
      <c r="I100" s="4" t="str">
        <f>VLOOKUP($A100,'Institution Evaluation'!$A$56:$K$346,9,0)&amp;""</f>
        <v>Standard Importance</v>
      </c>
      <c r="J100" s="4" t="str">
        <f>VLOOKUP($A100,'Institution Evaluation'!$A$56:$K$346,10,0)&amp;""</f>
        <v/>
      </c>
      <c r="K100" s="4">
        <f t="shared" si="19"/>
        <v>10</v>
      </c>
      <c r="L100" s="108">
        <f>IF($E100="Not Scored", "N/A",IF(AND($D100='Auto Responses'!$J$27,$H100=""),"N/A",IF(AND($D100='Auto Responses'!$J$27,$H100='Auto Responses'!$J$7),1,IF(AND($D100='Auto Responses'!$J$27,$H100='Auto Responses'!$J$8),0,IF(OR($F100=$G100,$H100='Auto Responses'!$J$7),1,0)))))</f>
        <v>0</v>
      </c>
      <c r="M100" s="4" t="str">
        <f>VLOOKUP($A100,'Institution Evaluation'!$A$56:$K$346,10,0)&amp;""</f>
        <v/>
      </c>
      <c r="N100" s="4">
        <f t="shared" si="20"/>
        <v>0</v>
      </c>
      <c r="O100" s="108">
        <f t="shared" si="24"/>
        <v>10</v>
      </c>
      <c r="P100" s="108">
        <f t="shared" si="25"/>
        <v>0</v>
      </c>
      <c r="Q100" s="108">
        <f t="shared" si="14"/>
        <v>0</v>
      </c>
      <c r="R100" s="108">
        <f t="shared" si="22"/>
        <v>0</v>
      </c>
      <c r="S100" s="108">
        <f t="shared" si="15"/>
        <v>0</v>
      </c>
      <c r="T100" s="108">
        <f t="shared" si="16"/>
        <v>0</v>
      </c>
      <c r="U100" s="108">
        <f t="shared" si="23"/>
        <v>35</v>
      </c>
      <c r="V100" s="108">
        <f t="shared" si="17"/>
        <v>0</v>
      </c>
    </row>
    <row r="101" spans="1:22" ht="57" x14ac:dyDescent="0.2">
      <c r="A101" s="4" t="str">
        <f>Questions!$A101</f>
        <v>CHNG-06</v>
      </c>
      <c r="B101" s="4" t="str">
        <f t="shared" si="18"/>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Evaluation'!$A$56:$K$346,3,0)&amp;""</f>
        <v>No</v>
      </c>
      <c r="G101" s="4" t="str">
        <f>VLOOKUP($A101,'Institution Evaluation'!$A$56:$K$346,7,0)&amp;""</f>
        <v>Yes</v>
      </c>
      <c r="H101" s="4" t="str">
        <f>VLOOKUP($A101,'Institution Evaluation'!$A$56:$K$346,8,0)&amp;""</f>
        <v/>
      </c>
      <c r="I101" s="4" t="str">
        <f>VLOOKUP($A101,'Institution Evaluation'!$A$56:$K$346,9,0)&amp;""</f>
        <v>Standard Importance</v>
      </c>
      <c r="J101" s="4" t="str">
        <f>VLOOKUP($A101,'Institution Evaluation'!$A$56:$K$346,10,0)&amp;""</f>
        <v/>
      </c>
      <c r="K101" s="4">
        <f t="shared" si="19"/>
        <v>10</v>
      </c>
      <c r="L101" s="108">
        <f>IF($E101="Not Scored", "N/A",IF(AND($D101='Auto Responses'!$J$27,$H101=""),"N/A",IF(AND($D101='Auto Responses'!$J$27,$H101='Auto Responses'!$J$7),1,IF(AND($D101='Auto Responses'!$J$27,$H101='Auto Responses'!$J$8),0,IF(OR($F101=$G101,$H101='Auto Responses'!$J$7),1,0)))))</f>
        <v>0</v>
      </c>
      <c r="M101" s="4" t="str">
        <f>VLOOKUP($A101,'Institution Evaluation'!$A$56:$K$346,10,0)&amp;""</f>
        <v/>
      </c>
      <c r="N101" s="4">
        <f t="shared" si="20"/>
        <v>0</v>
      </c>
      <c r="O101" s="108">
        <f t="shared" si="24"/>
        <v>10</v>
      </c>
      <c r="P101" s="108">
        <f t="shared" si="25"/>
        <v>0</v>
      </c>
      <c r="Q101" s="108">
        <f t="shared" si="14"/>
        <v>0</v>
      </c>
      <c r="R101" s="108">
        <f t="shared" si="22"/>
        <v>0</v>
      </c>
      <c r="S101" s="108">
        <f t="shared" si="15"/>
        <v>0</v>
      </c>
      <c r="T101" s="108">
        <f t="shared" si="16"/>
        <v>0</v>
      </c>
      <c r="U101" s="108">
        <f t="shared" si="23"/>
        <v>35</v>
      </c>
      <c r="V101" s="108">
        <f t="shared" si="17"/>
        <v>0</v>
      </c>
    </row>
    <row r="102" spans="1:22" ht="57" x14ac:dyDescent="0.2">
      <c r="A102" s="4" t="str">
        <f>Questions!$A102</f>
        <v>CHNG-07</v>
      </c>
      <c r="B102" s="4" t="str">
        <f t="shared" si="18"/>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Evaluation'!$A$56:$K$346,3,0)&amp;""</f>
        <v>No</v>
      </c>
      <c r="G102" s="4" t="str">
        <f>VLOOKUP($A102,'Institution Evaluation'!$A$56:$K$346,7,0)&amp;""</f>
        <v>Yes</v>
      </c>
      <c r="H102" s="4" t="str">
        <f>VLOOKUP($A102,'Institution Evaluation'!$A$56:$K$346,8,0)&amp;""</f>
        <v/>
      </c>
      <c r="I102" s="4" t="str">
        <f>VLOOKUP($A102,'Institution Evaluation'!$A$56:$K$346,9,0)&amp;""</f>
        <v>Standard Importance</v>
      </c>
      <c r="J102" s="4" t="str">
        <f>VLOOKUP($A102,'Institution Evaluation'!$A$56:$K$346,10,0)&amp;""</f>
        <v/>
      </c>
      <c r="K102" s="4">
        <f t="shared" si="19"/>
        <v>10</v>
      </c>
      <c r="L102" s="108">
        <f>IF($E102="Not Scored", "N/A",IF(AND($D102='Auto Responses'!$J$27,$H102=""),"N/A",IF(AND($D102='Auto Responses'!$J$27,$H102='Auto Responses'!$J$7),1,IF(AND($D102='Auto Responses'!$J$27,$H102='Auto Responses'!$J$8),0,IF(OR($F102=$G102,$H102='Auto Responses'!$J$7),1,0)))))</f>
        <v>0</v>
      </c>
      <c r="M102" s="4" t="str">
        <f>VLOOKUP($A102,'Institution Evaluation'!$A$56:$K$346,10,0)&amp;""</f>
        <v/>
      </c>
      <c r="N102" s="4">
        <f t="shared" si="20"/>
        <v>0</v>
      </c>
      <c r="O102" s="108">
        <f t="shared" si="24"/>
        <v>10</v>
      </c>
      <c r="P102" s="108">
        <f t="shared" si="25"/>
        <v>0</v>
      </c>
      <c r="Q102" s="108">
        <f t="shared" si="14"/>
        <v>0</v>
      </c>
      <c r="R102" s="108">
        <f t="shared" si="22"/>
        <v>0</v>
      </c>
      <c r="S102" s="108">
        <f t="shared" si="15"/>
        <v>0</v>
      </c>
      <c r="T102" s="108">
        <f t="shared" si="16"/>
        <v>0</v>
      </c>
      <c r="U102" s="108">
        <f t="shared" si="23"/>
        <v>35</v>
      </c>
      <c r="V102" s="108">
        <f t="shared" si="17"/>
        <v>0</v>
      </c>
    </row>
    <row r="103" spans="1:22" ht="57" x14ac:dyDescent="0.2">
      <c r="A103" s="4" t="str">
        <f>Questions!$A103</f>
        <v>CHNG-08</v>
      </c>
      <c r="B103" s="4" t="str">
        <f t="shared" si="18"/>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Evaluation'!$A$56:$K$346,3,0)&amp;""</f>
        <v>No</v>
      </c>
      <c r="G103" s="4" t="str">
        <f>VLOOKUP($A103,'Institution Evaluation'!$A$56:$K$346,7,0)&amp;""</f>
        <v>Yes</v>
      </c>
      <c r="H103" s="4" t="str">
        <f>VLOOKUP($A103,'Institution Evaluation'!$A$56:$K$346,8,0)&amp;""</f>
        <v/>
      </c>
      <c r="I103" s="4" t="str">
        <f>VLOOKUP($A103,'Institution Evaluation'!$A$56:$K$346,9,0)&amp;""</f>
        <v>Standard Importance</v>
      </c>
      <c r="J103" s="4" t="str">
        <f>VLOOKUP($A103,'Institution Evaluation'!$A$56:$K$346,10,0)&amp;""</f>
        <v/>
      </c>
      <c r="K103" s="4">
        <f t="shared" si="19"/>
        <v>10</v>
      </c>
      <c r="L103" s="108">
        <f>IF($E103="Not Scored", "N/A",IF(AND($D103='Auto Responses'!$J$27,$H103=""),"N/A",IF(AND($D103='Auto Responses'!$J$27,$H103='Auto Responses'!$J$7),1,IF(AND($D103='Auto Responses'!$J$27,$H103='Auto Responses'!$J$8),0,IF(OR($F103=$G103,$H103='Auto Responses'!$J$7),1,0)))))</f>
        <v>0</v>
      </c>
      <c r="M103" s="4" t="str">
        <f>VLOOKUP($A103,'Institution Evaluation'!$A$56:$K$346,10,0)&amp;""</f>
        <v/>
      </c>
      <c r="N103" s="4">
        <f t="shared" si="20"/>
        <v>0</v>
      </c>
      <c r="O103" s="108">
        <f t="shared" si="24"/>
        <v>10</v>
      </c>
      <c r="P103" s="108">
        <f t="shared" si="25"/>
        <v>0</v>
      </c>
      <c r="Q103" s="108">
        <f t="shared" si="14"/>
        <v>0</v>
      </c>
      <c r="R103" s="108">
        <f t="shared" si="22"/>
        <v>0</v>
      </c>
      <c r="S103" s="108">
        <f t="shared" si="15"/>
        <v>0</v>
      </c>
      <c r="T103" s="108">
        <f t="shared" si="16"/>
        <v>0</v>
      </c>
      <c r="U103" s="108">
        <f t="shared" si="23"/>
        <v>35</v>
      </c>
      <c r="V103" s="108">
        <f t="shared" si="17"/>
        <v>0</v>
      </c>
    </row>
    <row r="104" spans="1:22" ht="57" x14ac:dyDescent="0.2">
      <c r="A104" s="4" t="str">
        <f>Questions!$A104</f>
        <v>CHNG-09</v>
      </c>
      <c r="B104" s="4" t="str">
        <f t="shared" si="18"/>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Evaluation'!$A$56:$K$346,3,0)&amp;""</f>
        <v>No</v>
      </c>
      <c r="G104" s="4" t="str">
        <f>VLOOKUP($A104,'Institution Evaluation'!$A$56:$K$346,7,0)&amp;""</f>
        <v>Yes</v>
      </c>
      <c r="H104" s="4" t="str">
        <f>VLOOKUP($A104,'Institution Evaluation'!$A$56:$K$346,8,0)&amp;""</f>
        <v/>
      </c>
      <c r="I104" s="4" t="str">
        <f>VLOOKUP($A104,'Institution Evaluation'!$A$56:$K$346,9,0)&amp;""</f>
        <v>Minor Importance</v>
      </c>
      <c r="J104" s="4" t="str">
        <f>VLOOKUP($A104,'Institution Evaluation'!$A$56:$K$346,10,0)&amp;""</f>
        <v/>
      </c>
      <c r="K104" s="4">
        <f t="shared" si="19"/>
        <v>5</v>
      </c>
      <c r="L104" s="108">
        <f>IF($E104="Not Scored", "N/A",IF(AND($D104='Auto Responses'!$J$27,$H104=""),"N/A",IF(AND($D104='Auto Responses'!$J$27,$H104='Auto Responses'!$J$7),1,IF(AND($D104='Auto Responses'!$J$27,$H104='Auto Responses'!$J$8),0,IF(OR($F104=$G104,$H104='Auto Responses'!$J$7),1,0)))))</f>
        <v>0</v>
      </c>
      <c r="M104" s="4" t="str">
        <f>VLOOKUP($A104,'Institution Evaluation'!$A$56:$K$346,10,0)&amp;""</f>
        <v/>
      </c>
      <c r="N104" s="4">
        <f t="shared" si="20"/>
        <v>0</v>
      </c>
      <c r="O104" s="108">
        <f t="shared" si="24"/>
        <v>5</v>
      </c>
      <c r="P104" s="108">
        <f t="shared" si="25"/>
        <v>0</v>
      </c>
      <c r="Q104" s="108">
        <f t="shared" si="14"/>
        <v>0</v>
      </c>
      <c r="R104" s="108">
        <f t="shared" si="22"/>
        <v>0</v>
      </c>
      <c r="S104" s="108">
        <f t="shared" si="15"/>
        <v>0</v>
      </c>
      <c r="T104" s="108">
        <f t="shared" si="16"/>
        <v>0</v>
      </c>
      <c r="U104" s="108">
        <f t="shared" si="23"/>
        <v>35</v>
      </c>
      <c r="V104" s="108">
        <f t="shared" si="17"/>
        <v>0</v>
      </c>
    </row>
    <row r="105" spans="1:22" ht="57" x14ac:dyDescent="0.2">
      <c r="A105" s="4" t="str">
        <f>Questions!$A105</f>
        <v>CHNG-10</v>
      </c>
      <c r="B105" s="4" t="str">
        <f t="shared" si="18"/>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Evaluation'!$A$56:$K$346,3,0)&amp;""</f>
        <v>No</v>
      </c>
      <c r="G105" s="4" t="str">
        <f>VLOOKUP($A105,'Institution Evaluation'!$A$56:$K$346,7,0)&amp;""</f>
        <v>Yes</v>
      </c>
      <c r="H105" s="4" t="str">
        <f>VLOOKUP($A105,'Institution Evaluation'!$A$56:$K$346,8,0)&amp;""</f>
        <v/>
      </c>
      <c r="I105" s="4" t="str">
        <f>VLOOKUP($A105,'Institution Evaluation'!$A$56:$K$346,9,0)&amp;""</f>
        <v>Minor Importance</v>
      </c>
      <c r="J105" s="4" t="str">
        <f>VLOOKUP($A105,'Institution Evaluation'!$A$56:$K$346,10,0)&amp;""</f>
        <v/>
      </c>
      <c r="K105" s="4">
        <f t="shared" si="19"/>
        <v>5</v>
      </c>
      <c r="L105" s="108">
        <f>IF($E105="Not Scored", "N/A",IF(AND($D105='Auto Responses'!$J$27,$H105=""),"N/A",IF(AND($D105='Auto Responses'!$J$27,$H105='Auto Responses'!$J$7),1,IF(AND($D105='Auto Responses'!$J$27,$H105='Auto Responses'!$J$8),0,IF(OR($F105=$G105,$H105='Auto Responses'!$J$7),1,0)))))</f>
        <v>0</v>
      </c>
      <c r="M105" s="4" t="str">
        <f>VLOOKUP($A105,'Institution Evaluation'!$A$56:$K$346,10,0)&amp;""</f>
        <v/>
      </c>
      <c r="N105" s="4">
        <f t="shared" si="20"/>
        <v>0</v>
      </c>
      <c r="O105" s="108">
        <f t="shared" si="24"/>
        <v>5</v>
      </c>
      <c r="P105" s="108">
        <f t="shared" si="25"/>
        <v>0</v>
      </c>
      <c r="Q105" s="108">
        <f t="shared" si="14"/>
        <v>0</v>
      </c>
      <c r="R105" s="108">
        <f t="shared" si="22"/>
        <v>0</v>
      </c>
      <c r="S105" s="108">
        <f t="shared" si="15"/>
        <v>0</v>
      </c>
      <c r="T105" s="108">
        <f t="shared" si="16"/>
        <v>0</v>
      </c>
      <c r="U105" s="108">
        <f t="shared" si="23"/>
        <v>35</v>
      </c>
      <c r="V105" s="108">
        <f t="shared" si="17"/>
        <v>0</v>
      </c>
    </row>
    <row r="106" spans="1:22" ht="57" x14ac:dyDescent="0.2">
      <c r="A106" s="4" t="str">
        <f>Questions!$A106</f>
        <v>CHNG-11</v>
      </c>
      <c r="B106" s="4" t="str">
        <f t="shared" si="18"/>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Evaluation'!$A$56:$K$346,3,0)&amp;""</f>
        <v>No</v>
      </c>
      <c r="G106" s="4" t="str">
        <f>VLOOKUP($A106,'Institution Evaluation'!$A$56:$K$346,7,0)&amp;""</f>
        <v>Yes</v>
      </c>
      <c r="H106" s="4" t="str">
        <f>VLOOKUP($A106,'Institution Evaluation'!$A$56:$K$346,8,0)&amp;""</f>
        <v/>
      </c>
      <c r="I106" s="4" t="str">
        <f>VLOOKUP($A106,'Institution Evaluation'!$A$56:$K$346,9,0)&amp;""</f>
        <v>Minor Importance</v>
      </c>
      <c r="J106" s="4" t="str">
        <f>VLOOKUP($A106,'Institution Evaluation'!$A$56:$K$346,10,0)&amp;""</f>
        <v/>
      </c>
      <c r="K106" s="4">
        <f t="shared" si="19"/>
        <v>5</v>
      </c>
      <c r="L106" s="108">
        <f>IF($E106="Not Scored", "N/A",IF(AND($D106='Auto Responses'!$J$27,$H106=""),"N/A",IF(AND($D106='Auto Responses'!$J$27,$H106='Auto Responses'!$J$7),1,IF(AND($D106='Auto Responses'!$J$27,$H106='Auto Responses'!$J$8),0,IF(OR($F106=$G106,$H106='Auto Responses'!$J$7),1,0)))))</f>
        <v>0</v>
      </c>
      <c r="M106" s="4" t="str">
        <f>VLOOKUP($A106,'Institution Evaluation'!$A$56:$K$346,10,0)&amp;""</f>
        <v/>
      </c>
      <c r="N106" s="4">
        <f t="shared" si="20"/>
        <v>0</v>
      </c>
      <c r="O106" s="108">
        <f t="shared" si="24"/>
        <v>5</v>
      </c>
      <c r="P106" s="108">
        <f t="shared" si="25"/>
        <v>0</v>
      </c>
      <c r="Q106" s="108">
        <f t="shared" si="14"/>
        <v>0</v>
      </c>
      <c r="R106" s="108">
        <f t="shared" si="22"/>
        <v>0</v>
      </c>
      <c r="S106" s="108">
        <f t="shared" si="15"/>
        <v>0</v>
      </c>
      <c r="T106" s="108">
        <f t="shared" si="16"/>
        <v>0</v>
      </c>
      <c r="U106" s="108">
        <f t="shared" si="23"/>
        <v>35</v>
      </c>
      <c r="V106" s="108">
        <f t="shared" si="17"/>
        <v>0</v>
      </c>
    </row>
    <row r="107" spans="1:22" ht="57" x14ac:dyDescent="0.2">
      <c r="A107" s="4" t="str">
        <f>Questions!$A107</f>
        <v>CHNG-12</v>
      </c>
      <c r="B107" s="4" t="str">
        <f t="shared" si="18"/>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Evaluation'!$A$56:$K$346,3,0)&amp;""</f>
        <v>No</v>
      </c>
      <c r="G107" s="4" t="str">
        <f>VLOOKUP($A107,'Institution Evaluation'!$A$56:$K$346,7,0)&amp;""</f>
        <v>Yes</v>
      </c>
      <c r="H107" s="4" t="str">
        <f>VLOOKUP($A107,'Institution Evaluation'!$A$56:$K$346,8,0)&amp;""</f>
        <v/>
      </c>
      <c r="I107" s="4" t="str">
        <f>VLOOKUP($A107,'Institution Evaluation'!$A$56:$K$346,9,0)&amp;""</f>
        <v>Minor Importance</v>
      </c>
      <c r="J107" s="4" t="str">
        <f>VLOOKUP($A107,'Institution Evaluation'!$A$56:$K$346,10,0)&amp;""</f>
        <v/>
      </c>
      <c r="K107" s="4">
        <f t="shared" si="19"/>
        <v>5</v>
      </c>
      <c r="L107" s="108">
        <f>IF($E107="Not Scored", "N/A",IF(AND($D107='Auto Responses'!$J$27,$H107=""),"N/A",IF(AND($D107='Auto Responses'!$J$27,$H107='Auto Responses'!$J$7),1,IF(AND($D107='Auto Responses'!$J$27,$H107='Auto Responses'!$J$8),0,IF(OR($F107=$G107,$H107='Auto Responses'!$J$7),1,0)))))</f>
        <v>0</v>
      </c>
      <c r="M107" s="4" t="str">
        <f>VLOOKUP($A107,'Institution Evaluation'!$A$56:$K$346,10,0)&amp;""</f>
        <v/>
      </c>
      <c r="N107" s="4">
        <f t="shared" si="20"/>
        <v>0</v>
      </c>
      <c r="O107" s="108">
        <f t="shared" si="24"/>
        <v>5</v>
      </c>
      <c r="P107" s="108">
        <f t="shared" si="25"/>
        <v>0</v>
      </c>
      <c r="Q107" s="108">
        <f t="shared" si="14"/>
        <v>0</v>
      </c>
      <c r="R107" s="108">
        <f t="shared" si="22"/>
        <v>0</v>
      </c>
      <c r="S107" s="108">
        <f t="shared" si="15"/>
        <v>0</v>
      </c>
      <c r="T107" s="108">
        <f t="shared" si="16"/>
        <v>0</v>
      </c>
      <c r="U107" s="108">
        <f t="shared" si="23"/>
        <v>35</v>
      </c>
      <c r="V107" s="108">
        <f t="shared" si="17"/>
        <v>0</v>
      </c>
    </row>
    <row r="108" spans="1:22" ht="57" x14ac:dyDescent="0.2">
      <c r="A108" s="4" t="str">
        <f>Questions!$A108</f>
        <v>CHNG-13</v>
      </c>
      <c r="B108" s="4" t="str">
        <f t="shared" si="18"/>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Evaluation'!$A$56:$K$346,3,0)&amp;""</f>
        <v>Yes</v>
      </c>
      <c r="G108" s="4" t="str">
        <f>VLOOKUP($A108,'Institution Evaluation'!$A$56:$K$346,7,0)&amp;""</f>
        <v>Yes</v>
      </c>
      <c r="H108" s="4" t="str">
        <f>VLOOKUP($A108,'Institution Evaluation'!$A$56:$K$346,8,0)&amp;""</f>
        <v/>
      </c>
      <c r="I108" s="4" t="str">
        <f>VLOOKUP($A108,'Institution Evaluation'!$A$56:$K$346,9,0)&amp;""</f>
        <v>Minor Importance</v>
      </c>
      <c r="J108" s="4" t="str">
        <f>VLOOKUP($A108,'Institution Evaluation'!$A$56:$K$346,10,0)&amp;""</f>
        <v/>
      </c>
      <c r="K108" s="4">
        <f t="shared" si="19"/>
        <v>5</v>
      </c>
      <c r="L108" s="108">
        <f>IF($E108="Not Scored", "N/A",IF(AND($D108='Auto Responses'!$J$27,$H108=""),"N/A",IF(AND($D108='Auto Responses'!$J$27,$H108='Auto Responses'!$J$7),1,IF(AND($D108='Auto Responses'!$J$27,$H108='Auto Responses'!$J$8),0,IF(OR($F108=$G108,$H108='Auto Responses'!$J$7),1,0)))))</f>
        <v>1</v>
      </c>
      <c r="M108" s="4" t="str">
        <f>VLOOKUP($A108,'Institution Evaluation'!$A$56:$K$346,10,0)&amp;""</f>
        <v/>
      </c>
      <c r="N108" s="4">
        <f t="shared" si="20"/>
        <v>0</v>
      </c>
      <c r="O108" s="108">
        <f t="shared" si="24"/>
        <v>5</v>
      </c>
      <c r="P108" s="108">
        <f t="shared" si="25"/>
        <v>5</v>
      </c>
      <c r="Q108" s="108">
        <f t="shared" si="14"/>
        <v>0</v>
      </c>
      <c r="R108" s="108">
        <f t="shared" si="22"/>
        <v>0</v>
      </c>
      <c r="S108" s="108">
        <f t="shared" si="15"/>
        <v>0</v>
      </c>
      <c r="T108" s="108">
        <f t="shared" si="16"/>
        <v>0</v>
      </c>
      <c r="U108" s="108">
        <f t="shared" si="23"/>
        <v>35</v>
      </c>
      <c r="V108" s="108">
        <f t="shared" si="17"/>
        <v>0</v>
      </c>
    </row>
    <row r="109" spans="1:22" ht="57" x14ac:dyDescent="0.2">
      <c r="A109" s="4" t="str">
        <f>Questions!$A109</f>
        <v>CHNG-14</v>
      </c>
      <c r="B109" s="4" t="str">
        <f t="shared" si="18"/>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Evaluation'!$A$56:$K$346,3,0)&amp;""</f>
        <v>No</v>
      </c>
      <c r="G109" s="4" t="str">
        <f>VLOOKUP($A109,'Institution Evaluation'!$A$56:$K$346,7,0)&amp;""</f>
        <v>Yes</v>
      </c>
      <c r="H109" s="4" t="str">
        <f>VLOOKUP($A109,'Institution Evaluation'!$A$56:$K$346,8,0)&amp;""</f>
        <v/>
      </c>
      <c r="I109" s="4" t="str">
        <f>VLOOKUP($A109,'Institution Evaluation'!$A$56:$K$346,9,0)&amp;""</f>
        <v>Minor Importance</v>
      </c>
      <c r="J109" s="4" t="str">
        <f>VLOOKUP($A109,'Institution Evaluation'!$A$56:$K$346,10,0)&amp;""</f>
        <v/>
      </c>
      <c r="K109" s="4">
        <f t="shared" si="19"/>
        <v>5</v>
      </c>
      <c r="L109" s="108">
        <f>IF($E109="Not Scored", "N/A",IF(AND($D109='Auto Responses'!$J$27,$H109=""),"N/A",IF(AND($D109='Auto Responses'!$J$27,$H109='Auto Responses'!$J$7),1,IF(AND($D109='Auto Responses'!$J$27,$H109='Auto Responses'!$J$8),0,IF(OR($F109=$G109,$H109='Auto Responses'!$J$7),1,0)))))</f>
        <v>0</v>
      </c>
      <c r="M109" s="4" t="str">
        <f>VLOOKUP($A109,'Institution Evaluation'!$A$56:$K$346,10,0)&amp;""</f>
        <v/>
      </c>
      <c r="N109" s="4">
        <f t="shared" si="20"/>
        <v>0</v>
      </c>
      <c r="O109" s="108">
        <f t="shared" si="24"/>
        <v>5</v>
      </c>
      <c r="P109" s="108">
        <f t="shared" si="25"/>
        <v>0</v>
      </c>
      <c r="Q109" s="108">
        <f t="shared" si="14"/>
        <v>0</v>
      </c>
      <c r="R109" s="108">
        <f t="shared" si="22"/>
        <v>0</v>
      </c>
      <c r="S109" s="108">
        <f t="shared" si="15"/>
        <v>0</v>
      </c>
      <c r="T109" s="108">
        <f t="shared" si="16"/>
        <v>0</v>
      </c>
      <c r="U109" s="108">
        <f t="shared" si="23"/>
        <v>35</v>
      </c>
      <c r="V109" s="108">
        <f t="shared" si="17"/>
        <v>0</v>
      </c>
    </row>
    <row r="110" spans="1:22" ht="57" x14ac:dyDescent="0.2">
      <c r="A110" s="4" t="str">
        <f>Questions!$A110</f>
        <v>CHNG-15</v>
      </c>
      <c r="B110" s="4" t="str">
        <f t="shared" si="18"/>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Evaluation'!$A$56:$K$346,3,0)&amp;""</f>
        <v>Yes</v>
      </c>
      <c r="G110" s="4" t="str">
        <f>VLOOKUP($A110,'Institution Evaluation'!$A$56:$K$346,7,0)&amp;""</f>
        <v>Yes</v>
      </c>
      <c r="H110" s="4" t="str">
        <f>VLOOKUP($A110,'Institution Evaluation'!$A$56:$K$346,8,0)&amp;""</f>
        <v/>
      </c>
      <c r="I110" s="4" t="str">
        <f>VLOOKUP($A110,'Institution Evaluation'!$A$56:$K$346,9,0)&amp;""</f>
        <v>Minor Importance</v>
      </c>
      <c r="J110" s="4" t="str">
        <f>VLOOKUP($A110,'Institution Evaluation'!$A$56:$K$346,10,0)&amp;""</f>
        <v/>
      </c>
      <c r="K110" s="4">
        <f t="shared" si="19"/>
        <v>5</v>
      </c>
      <c r="L110" s="108">
        <f>IF($E110="Not Scored", "N/A",IF(AND($D110='Auto Responses'!$J$27,$H110=""),"N/A",IF(AND($D110='Auto Responses'!$J$27,$H110='Auto Responses'!$J$7),1,IF(AND($D110='Auto Responses'!$J$27,$H110='Auto Responses'!$J$8),0,IF(OR($F110=$G110,$H110='Auto Responses'!$J$7),1,0)))))</f>
        <v>1</v>
      </c>
      <c r="M110" s="4" t="str">
        <f>VLOOKUP($A110,'Institution Evaluation'!$A$56:$K$346,10,0)&amp;""</f>
        <v/>
      </c>
      <c r="N110" s="4">
        <f t="shared" si="20"/>
        <v>0</v>
      </c>
      <c r="O110" s="108">
        <f t="shared" si="24"/>
        <v>5</v>
      </c>
      <c r="P110" s="108">
        <f t="shared" si="25"/>
        <v>5</v>
      </c>
      <c r="Q110" s="108">
        <f t="shared" si="14"/>
        <v>0</v>
      </c>
      <c r="R110" s="108">
        <f t="shared" si="22"/>
        <v>0</v>
      </c>
      <c r="S110" s="108">
        <f t="shared" si="15"/>
        <v>0</v>
      </c>
      <c r="T110" s="108">
        <f t="shared" si="16"/>
        <v>0</v>
      </c>
      <c r="U110" s="108">
        <f t="shared" si="23"/>
        <v>35</v>
      </c>
      <c r="V110" s="108">
        <f t="shared" si="17"/>
        <v>0</v>
      </c>
    </row>
    <row r="111" spans="1:22" ht="57" x14ac:dyDescent="0.2">
      <c r="A111" s="4" t="str">
        <f>Questions!$A111</f>
        <v>CHNG-16</v>
      </c>
      <c r="B111" s="4" t="str">
        <f t="shared" si="18"/>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Evaluation'!$A$56:$K$346,3,0)&amp;""</f>
        <v>No</v>
      </c>
      <c r="G111" s="4" t="str">
        <f>VLOOKUP($A111,'Institution Evaluation'!$A$56:$K$346,7,0)&amp;""</f>
        <v>Yes</v>
      </c>
      <c r="H111" s="4" t="str">
        <f>VLOOKUP($A111,'Institution Evaluation'!$A$56:$K$346,8,0)&amp;""</f>
        <v/>
      </c>
      <c r="I111" s="4" t="str">
        <f>VLOOKUP($A111,'Institution Evaluation'!$A$56:$K$346,9,0)&amp;""</f>
        <v>Minor Importance</v>
      </c>
      <c r="J111" s="4" t="str">
        <f>VLOOKUP($A111,'Institution Evaluation'!$A$56:$K$346,10,0)&amp;""</f>
        <v/>
      </c>
      <c r="K111" s="4">
        <f t="shared" si="19"/>
        <v>5</v>
      </c>
      <c r="L111" s="108">
        <f>IF($E111="Not Scored", "N/A",IF(AND($D111='Auto Responses'!$J$27,$H111=""),"N/A",IF(AND($D111='Auto Responses'!$J$27,$H111='Auto Responses'!$J$7),1,IF(AND($D111='Auto Responses'!$J$27,$H111='Auto Responses'!$J$8),0,IF(OR($F111=$G111,$H111='Auto Responses'!$J$7),1,0)))))</f>
        <v>0</v>
      </c>
      <c r="M111" s="4" t="str">
        <f>VLOOKUP($A111,'Institution Evaluation'!$A$56:$K$346,10,0)&amp;""</f>
        <v/>
      </c>
      <c r="N111" s="4">
        <f t="shared" si="20"/>
        <v>0</v>
      </c>
      <c r="O111" s="108">
        <f t="shared" si="24"/>
        <v>5</v>
      </c>
      <c r="P111" s="108">
        <f t="shared" si="25"/>
        <v>0</v>
      </c>
      <c r="Q111" s="108">
        <f t="shared" si="14"/>
        <v>0</v>
      </c>
      <c r="R111" s="108">
        <f t="shared" si="22"/>
        <v>0</v>
      </c>
      <c r="S111" s="108">
        <f t="shared" si="15"/>
        <v>0</v>
      </c>
      <c r="T111" s="108">
        <f t="shared" si="16"/>
        <v>0</v>
      </c>
      <c r="U111" s="108">
        <f t="shared" si="23"/>
        <v>35</v>
      </c>
      <c r="V111" s="108">
        <f t="shared" si="17"/>
        <v>0</v>
      </c>
    </row>
    <row r="112" spans="1:22" ht="57" x14ac:dyDescent="0.2">
      <c r="A112" s="4" t="str">
        <f>Questions!$A112</f>
        <v>DATA-01</v>
      </c>
      <c r="B112" s="4" t="str">
        <f t="shared" si="18"/>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Evaluation'!$A$56:$K$346,3,0)&amp;""</f>
        <v>No</v>
      </c>
      <c r="G112" s="4" t="str">
        <f>VLOOKUP($A112,'Institution Evaluation'!$A$56:$K$346,7,0)&amp;""</f>
        <v>No</v>
      </c>
      <c r="H112" s="4" t="str">
        <f>VLOOKUP($A112,'Institution Evaluation'!$A$56:$K$346,8,0)&amp;""</f>
        <v/>
      </c>
      <c r="I112" s="4" t="str">
        <f>VLOOKUP($A112,'Institution Evaluation'!$A$56:$K$346,9,0)&amp;""</f>
        <v>Critical Importance</v>
      </c>
      <c r="J112" s="4" t="str">
        <f>VLOOKUP($A112,'Institution Evaluation'!$A$56:$K$346,10,0)&amp;""</f>
        <v/>
      </c>
      <c r="K112" s="4">
        <f t="shared" si="19"/>
        <v>20</v>
      </c>
      <c r="L112" s="108">
        <f>IF($E112="Not Scored", "N/A",IF(AND($D112='Auto Responses'!$J$27,$H112=""),"N/A",IF(AND($D112='Auto Responses'!$J$27,$H112='Auto Responses'!$J$7),1,IF(AND($D112='Auto Responses'!$J$27,$H112='Auto Responses'!$J$8),0,IF(OR($F112=$G112,$H112='Auto Responses'!$J$7),1,0)))))</f>
        <v>1</v>
      </c>
      <c r="M112" s="4" t="str">
        <f>VLOOKUP($A112,'Institution Evaluation'!$A$56:$K$346,10,0)&amp;""</f>
        <v/>
      </c>
      <c r="N112" s="4">
        <f t="shared" si="20"/>
        <v>1</v>
      </c>
      <c r="O112" s="108">
        <f t="shared" si="24"/>
        <v>20</v>
      </c>
      <c r="P112" s="108">
        <f t="shared" si="25"/>
        <v>20</v>
      </c>
      <c r="Q112" s="108">
        <f t="shared" si="14"/>
        <v>0</v>
      </c>
      <c r="R112" s="108">
        <f t="shared" si="22"/>
        <v>0</v>
      </c>
      <c r="S112" s="108">
        <f t="shared" si="15"/>
        <v>0</v>
      </c>
      <c r="T112" s="108">
        <f t="shared" si="16"/>
        <v>1</v>
      </c>
      <c r="U112" s="108">
        <f t="shared" si="23"/>
        <v>36</v>
      </c>
      <c r="V112" s="108">
        <f t="shared" si="17"/>
        <v>36</v>
      </c>
    </row>
    <row r="113" spans="1:22" ht="57" x14ac:dyDescent="0.2">
      <c r="A113" s="4" t="str">
        <f>Questions!$A113</f>
        <v>DATA-02</v>
      </c>
      <c r="B113" s="4" t="str">
        <f t="shared" si="18"/>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Evaluation'!$A$56:$K$346,3,0)&amp;""</f>
        <v>Yes</v>
      </c>
      <c r="G113" s="4" t="str">
        <f>VLOOKUP($A113,'Institution Evaluation'!$A$56:$K$346,7,0)&amp;""</f>
        <v>Yes</v>
      </c>
      <c r="H113" s="4" t="str">
        <f>VLOOKUP($A113,'Institution Evaluation'!$A$56:$K$346,8,0)&amp;""</f>
        <v/>
      </c>
      <c r="I113" s="4" t="str">
        <f>VLOOKUP($A113,'Institution Evaluation'!$A$56:$K$346,9,0)&amp;""</f>
        <v>Critical Importance</v>
      </c>
      <c r="J113" s="4" t="str">
        <f>VLOOKUP($A113,'Institution Evaluation'!$A$56:$K$346,10,0)&amp;""</f>
        <v/>
      </c>
      <c r="K113" s="4">
        <f t="shared" si="19"/>
        <v>20</v>
      </c>
      <c r="L113" s="108">
        <f>IF($E113="Not Scored", "N/A",IF(AND($D113='Auto Responses'!$J$27,$H113=""),"N/A",IF(AND($D113='Auto Responses'!$J$27,$H113='Auto Responses'!$J$7),1,IF(AND($D113='Auto Responses'!$J$27,$H113='Auto Responses'!$J$8),0,IF(OR($F113=$G113,$H113='Auto Responses'!$J$7),1,0)))))</f>
        <v>1</v>
      </c>
      <c r="M113" s="4" t="str">
        <f>VLOOKUP($A113,'Institution Evaluation'!$A$56:$K$346,10,0)&amp;""</f>
        <v/>
      </c>
      <c r="N113" s="4">
        <f t="shared" si="20"/>
        <v>1</v>
      </c>
      <c r="O113" s="108">
        <f t="shared" si="24"/>
        <v>20</v>
      </c>
      <c r="P113" s="108">
        <f t="shared" si="25"/>
        <v>20</v>
      </c>
      <c r="Q113" s="108">
        <f t="shared" si="14"/>
        <v>0</v>
      </c>
      <c r="R113" s="108">
        <f t="shared" si="22"/>
        <v>0</v>
      </c>
      <c r="S113" s="108">
        <f t="shared" si="15"/>
        <v>0</v>
      </c>
      <c r="T113" s="108">
        <f t="shared" si="16"/>
        <v>1</v>
      </c>
      <c r="U113" s="108">
        <f t="shared" si="23"/>
        <v>37</v>
      </c>
      <c r="V113" s="108">
        <f t="shared" si="17"/>
        <v>37</v>
      </c>
    </row>
    <row r="114" spans="1:22" ht="57" x14ac:dyDescent="0.2">
      <c r="A114" s="4" t="str">
        <f>Questions!$A114</f>
        <v>DATA-03</v>
      </c>
      <c r="B114" s="4" t="str">
        <f t="shared" si="18"/>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Evaluation'!$A$56:$K$346,3,0)&amp;""</f>
        <v>Yes</v>
      </c>
      <c r="G114" s="4" t="str">
        <f>VLOOKUP($A114,'Institution Evaluation'!$A$56:$K$346,7,0)&amp;""</f>
        <v>Yes</v>
      </c>
      <c r="H114" s="4" t="str">
        <f>VLOOKUP($A114,'Institution Evaluation'!$A$56:$K$346,8,0)&amp;""</f>
        <v/>
      </c>
      <c r="I114" s="4" t="str">
        <f>VLOOKUP($A114,'Institution Evaluation'!$A$56:$K$346,9,0)&amp;""</f>
        <v>Critical Importance</v>
      </c>
      <c r="J114" s="4" t="str">
        <f>VLOOKUP($A114,'Institution Evaluation'!$A$56:$K$346,10,0)&amp;""</f>
        <v/>
      </c>
      <c r="K114" s="4">
        <f t="shared" si="19"/>
        <v>20</v>
      </c>
      <c r="L114" s="108">
        <f>IF($E114="Not Scored", "N/A",IF(AND($D114='Auto Responses'!$J$27,$H114=""),"N/A",IF(AND($D114='Auto Responses'!$J$27,$H114='Auto Responses'!$J$7),1,IF(AND($D114='Auto Responses'!$J$27,$H114='Auto Responses'!$J$8),0,IF(OR($F114=$G114,$H114='Auto Responses'!$J$7),1,0)))))</f>
        <v>1</v>
      </c>
      <c r="M114" s="4" t="str">
        <f>VLOOKUP($A114,'Institution Evaluation'!$A$56:$K$346,10,0)&amp;""</f>
        <v/>
      </c>
      <c r="N114" s="4">
        <f t="shared" si="20"/>
        <v>1</v>
      </c>
      <c r="O114" s="108">
        <f t="shared" si="24"/>
        <v>20</v>
      </c>
      <c r="P114" s="108">
        <f t="shared" si="25"/>
        <v>20</v>
      </c>
      <c r="Q114" s="108">
        <f t="shared" si="14"/>
        <v>0</v>
      </c>
      <c r="R114" s="108">
        <f t="shared" si="22"/>
        <v>0</v>
      </c>
      <c r="S114" s="108">
        <f t="shared" si="15"/>
        <v>0</v>
      </c>
      <c r="T114" s="108">
        <f t="shared" si="16"/>
        <v>1</v>
      </c>
      <c r="U114" s="108">
        <f t="shared" si="23"/>
        <v>38</v>
      </c>
      <c r="V114" s="108">
        <f t="shared" si="17"/>
        <v>38</v>
      </c>
    </row>
    <row r="115" spans="1:22" ht="57" x14ac:dyDescent="0.2">
      <c r="A115" s="4" t="str">
        <f>Questions!$A115</f>
        <v>DATA-04</v>
      </c>
      <c r="B115" s="4" t="str">
        <f t="shared" si="18"/>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Evaluation'!$A$56:$K$346,3,0)&amp;""</f>
        <v>No</v>
      </c>
      <c r="G115" s="4" t="str">
        <f>VLOOKUP($A115,'Institution Evaluation'!$A$56:$K$346,7,0)&amp;""</f>
        <v>Yes</v>
      </c>
      <c r="H115" s="4" t="str">
        <f>VLOOKUP($A115,'Institution Evaluation'!$A$56:$K$346,8,0)&amp;""</f>
        <v/>
      </c>
      <c r="I115" s="4" t="str">
        <f>VLOOKUP($A115,'Institution Evaluation'!$A$56:$K$346,9,0)&amp;""</f>
        <v>Critical Importance</v>
      </c>
      <c r="J115" s="4" t="str">
        <f>VLOOKUP($A115,'Institution Evaluation'!$A$56:$K$346,10,0)&amp;""</f>
        <v/>
      </c>
      <c r="K115" s="4">
        <f t="shared" si="19"/>
        <v>20</v>
      </c>
      <c r="L115" s="108">
        <f>IF($E115="Not Scored", "N/A",IF(AND($D115='Auto Responses'!$J$27,$H115=""),"N/A",IF(AND($D115='Auto Responses'!$J$27,$H115='Auto Responses'!$J$7),1,IF(AND($D115='Auto Responses'!$J$27,$H115='Auto Responses'!$J$8),0,IF(OR($F115=$G115,$H115='Auto Responses'!$J$7),1,0)))))</f>
        <v>0</v>
      </c>
      <c r="M115" s="4" t="str">
        <f>VLOOKUP($A115,'Institution Evaluation'!$A$56:$K$346,10,0)&amp;""</f>
        <v/>
      </c>
      <c r="N115" s="4">
        <f t="shared" si="20"/>
        <v>1</v>
      </c>
      <c r="O115" s="108">
        <f t="shared" si="24"/>
        <v>20</v>
      </c>
      <c r="P115" s="108">
        <f t="shared" si="25"/>
        <v>0</v>
      </c>
      <c r="Q115" s="108">
        <f t="shared" si="14"/>
        <v>0</v>
      </c>
      <c r="R115" s="108">
        <f t="shared" si="22"/>
        <v>0</v>
      </c>
      <c r="S115" s="108">
        <f t="shared" si="15"/>
        <v>0</v>
      </c>
      <c r="T115" s="108">
        <f t="shared" si="16"/>
        <v>1</v>
      </c>
      <c r="U115" s="108">
        <f t="shared" si="23"/>
        <v>39</v>
      </c>
      <c r="V115" s="108">
        <f t="shared" si="17"/>
        <v>39</v>
      </c>
    </row>
    <row r="116" spans="1:22" ht="57" x14ac:dyDescent="0.2">
      <c r="A116" s="4" t="str">
        <f>Questions!$A116</f>
        <v>DATA-05</v>
      </c>
      <c r="B116" s="4" t="str">
        <f t="shared" si="18"/>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Evaluation'!$A$56:$K$346,3,0)&amp;""</f>
        <v>Yes</v>
      </c>
      <c r="G116" s="4" t="str">
        <f>VLOOKUP($A116,'Institution Evaluation'!$A$56:$K$346,7,0)&amp;""</f>
        <v>Yes</v>
      </c>
      <c r="H116" s="4" t="str">
        <f>VLOOKUP($A116,'Institution Evaluation'!$A$56:$K$346,8,0)&amp;""</f>
        <v/>
      </c>
      <c r="I116" s="4" t="str">
        <f>VLOOKUP($A116,'Institution Evaluation'!$A$56:$K$346,9,0)&amp;""</f>
        <v>Critical Importance</v>
      </c>
      <c r="J116" s="4" t="str">
        <f>VLOOKUP($A116,'Institution Evaluation'!$A$56:$K$346,10,0)&amp;""</f>
        <v/>
      </c>
      <c r="K116" s="4">
        <f t="shared" si="19"/>
        <v>20</v>
      </c>
      <c r="L116" s="108">
        <f>IF($E116="Not Scored", "N/A",IF(AND($D116='Auto Responses'!$J$27,$H116=""),"N/A",IF(AND($D116='Auto Responses'!$J$27,$H116='Auto Responses'!$J$7),1,IF(AND($D116='Auto Responses'!$J$27,$H116='Auto Responses'!$J$8),0,IF(OR($F116=$G116,$H116='Auto Responses'!$J$7),1,0)))))</f>
        <v>1</v>
      </c>
      <c r="M116" s="4" t="str">
        <f>VLOOKUP($A116,'Institution Evaluation'!$A$56:$K$346,10,0)&amp;""</f>
        <v/>
      </c>
      <c r="N116" s="4">
        <f t="shared" si="20"/>
        <v>1</v>
      </c>
      <c r="O116" s="108">
        <f t="shared" si="24"/>
        <v>20</v>
      </c>
      <c r="P116" s="108">
        <f t="shared" si="25"/>
        <v>20</v>
      </c>
      <c r="Q116" s="108">
        <f t="shared" si="14"/>
        <v>0</v>
      </c>
      <c r="R116" s="108">
        <f t="shared" si="22"/>
        <v>0</v>
      </c>
      <c r="S116" s="108">
        <f t="shared" si="15"/>
        <v>0</v>
      </c>
      <c r="T116" s="108">
        <f t="shared" si="16"/>
        <v>1</v>
      </c>
      <c r="U116" s="108">
        <f t="shared" si="23"/>
        <v>40</v>
      </c>
      <c r="V116" s="108">
        <f t="shared" si="17"/>
        <v>40</v>
      </c>
    </row>
    <row r="117" spans="1:22" ht="57" x14ac:dyDescent="0.2">
      <c r="A117" s="4" t="str">
        <f>Questions!$A117</f>
        <v>DATA-06</v>
      </c>
      <c r="B117" s="4" t="str">
        <f t="shared" si="18"/>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Evaluation'!$A$56:$K$346,3,0)&amp;""</f>
        <v>Yes</v>
      </c>
      <c r="G117" s="4" t="str">
        <f>VLOOKUP($A117,'Institution Evaluation'!$A$56:$K$346,7,0)&amp;""</f>
        <v>Yes</v>
      </c>
      <c r="H117" s="4" t="str">
        <f>VLOOKUP($A117,'Institution Evaluation'!$A$56:$K$346,8,0)&amp;""</f>
        <v/>
      </c>
      <c r="I117" s="4" t="str">
        <f>VLOOKUP($A117,'Institution Evaluation'!$A$56:$K$346,9,0)&amp;""</f>
        <v>Critical Importance</v>
      </c>
      <c r="J117" s="4" t="str">
        <f>VLOOKUP($A117,'Institution Evaluation'!$A$56:$K$346,10,0)&amp;""</f>
        <v/>
      </c>
      <c r="K117" s="4">
        <f t="shared" si="19"/>
        <v>20</v>
      </c>
      <c r="L117" s="108">
        <f>IF($E117="Not Scored", "N/A",IF(AND($D117='Auto Responses'!$J$27,$H117=""),"N/A",IF(AND($D117='Auto Responses'!$J$27,$H117='Auto Responses'!$J$7),1,IF(AND($D117='Auto Responses'!$J$27,$H117='Auto Responses'!$J$8),0,IF(OR($F117=$G117,$H117='Auto Responses'!$J$7),1,0)))))</f>
        <v>1</v>
      </c>
      <c r="M117" s="4" t="str">
        <f>VLOOKUP($A117,'Institution Evaluation'!$A$56:$K$346,10,0)&amp;""</f>
        <v/>
      </c>
      <c r="N117" s="4">
        <f t="shared" si="20"/>
        <v>1</v>
      </c>
      <c r="O117" s="108">
        <f t="shared" si="24"/>
        <v>20</v>
      </c>
      <c r="P117" s="108">
        <f t="shared" si="25"/>
        <v>20</v>
      </c>
      <c r="Q117" s="108">
        <f t="shared" si="14"/>
        <v>0</v>
      </c>
      <c r="R117" s="108">
        <f t="shared" si="22"/>
        <v>0</v>
      </c>
      <c r="S117" s="108">
        <f t="shared" si="15"/>
        <v>0</v>
      </c>
      <c r="T117" s="108">
        <f t="shared" si="16"/>
        <v>1</v>
      </c>
      <c r="U117" s="108">
        <f t="shared" si="23"/>
        <v>41</v>
      </c>
      <c r="V117" s="108">
        <f t="shared" si="17"/>
        <v>41</v>
      </c>
    </row>
    <row r="118" spans="1:22" ht="57" x14ac:dyDescent="0.2">
      <c r="A118" s="4" t="str">
        <f>Questions!$A118</f>
        <v>DATA-07</v>
      </c>
      <c r="B118" s="4" t="str">
        <f t="shared" si="18"/>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Evaluation'!$A$56:$K$346,3,0)&amp;""</f>
        <v>Yes</v>
      </c>
      <c r="G118" s="4" t="str">
        <f>VLOOKUP($A118,'Institution Evaluation'!$A$56:$K$346,7,0)&amp;""</f>
        <v>No</v>
      </c>
      <c r="H118" s="4" t="str">
        <f>VLOOKUP($A118,'Institution Evaluation'!$A$56:$K$346,8,0)&amp;""</f>
        <v/>
      </c>
      <c r="I118" s="4" t="str">
        <f>VLOOKUP($A118,'Institution Evaluation'!$A$56:$K$346,9,0)&amp;""</f>
        <v>Critical Importance</v>
      </c>
      <c r="J118" s="4" t="str">
        <f>VLOOKUP($A118,'Institution Evaluation'!$A$56:$K$346,10,0)&amp;""</f>
        <v/>
      </c>
      <c r="K118" s="4">
        <f t="shared" si="19"/>
        <v>20</v>
      </c>
      <c r="L118" s="108">
        <f>IF($E118="Not Scored", "N/A",IF(AND($D118='Auto Responses'!$J$27,$H118=""),"N/A",IF(AND($D118='Auto Responses'!$J$27,$H118='Auto Responses'!$J$7),1,IF(AND($D118='Auto Responses'!$J$27,$H118='Auto Responses'!$J$8),0,IF(OR($F118=$G118,$H118='Auto Responses'!$J$7),1,0)))))</f>
        <v>0</v>
      </c>
      <c r="M118" s="4" t="str">
        <f>VLOOKUP($A118,'Institution Evaluation'!$A$56:$K$346,10,0)&amp;""</f>
        <v/>
      </c>
      <c r="N118" s="4">
        <f t="shared" si="20"/>
        <v>1</v>
      </c>
      <c r="O118" s="108">
        <f t="shared" si="24"/>
        <v>20</v>
      </c>
      <c r="P118" s="108">
        <f t="shared" si="25"/>
        <v>0</v>
      </c>
      <c r="Q118" s="108">
        <f t="shared" si="14"/>
        <v>0</v>
      </c>
      <c r="R118" s="108">
        <f t="shared" si="22"/>
        <v>0</v>
      </c>
      <c r="S118" s="108">
        <f t="shared" si="15"/>
        <v>0</v>
      </c>
      <c r="T118" s="108">
        <f t="shared" si="16"/>
        <v>1</v>
      </c>
      <c r="U118" s="108">
        <f t="shared" si="23"/>
        <v>42</v>
      </c>
      <c r="V118" s="108">
        <f t="shared" si="17"/>
        <v>42</v>
      </c>
    </row>
    <row r="119" spans="1:22" ht="57" x14ac:dyDescent="0.2">
      <c r="A119" s="4" t="str">
        <f>Questions!$A119</f>
        <v>DATA-08</v>
      </c>
      <c r="B119" s="4" t="str">
        <f t="shared" si="18"/>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Evaluation'!$A$56:$K$346,3,0)&amp;""</f>
        <v>Yes</v>
      </c>
      <c r="G119" s="4" t="str">
        <f>VLOOKUP($A119,'Institution Evaluation'!$A$56:$K$346,7,0)&amp;""</f>
        <v>Yes</v>
      </c>
      <c r="H119" s="4" t="str">
        <f>VLOOKUP($A119,'Institution Evaluation'!$A$56:$K$346,8,0)&amp;""</f>
        <v/>
      </c>
      <c r="I119" s="4" t="str">
        <f>VLOOKUP($A119,'Institution Evaluation'!$A$56:$K$346,9,0)&amp;""</f>
        <v>Critical Importance</v>
      </c>
      <c r="J119" s="4" t="str">
        <f>VLOOKUP($A119,'Institution Evaluation'!$A$56:$K$346,10,0)&amp;""</f>
        <v/>
      </c>
      <c r="K119" s="4">
        <f t="shared" si="19"/>
        <v>20</v>
      </c>
      <c r="L119" s="108">
        <f>IF($E119="Not Scored", "N/A",IF(AND($D119='Auto Responses'!$J$27,$H119=""),"N/A",IF(AND($D119='Auto Responses'!$J$27,$H119='Auto Responses'!$J$7),1,IF(AND($D119='Auto Responses'!$J$27,$H119='Auto Responses'!$J$8),0,IF(OR($F119=$G119,$H119='Auto Responses'!$J$7),1,0)))))</f>
        <v>1</v>
      </c>
      <c r="M119" s="4" t="str">
        <f>VLOOKUP($A119,'Institution Evaluation'!$A$56:$K$346,10,0)&amp;""</f>
        <v/>
      </c>
      <c r="N119" s="4">
        <f t="shared" si="20"/>
        <v>1</v>
      </c>
      <c r="O119" s="108">
        <f t="shared" si="24"/>
        <v>20</v>
      </c>
      <c r="P119" s="108">
        <f t="shared" si="25"/>
        <v>20</v>
      </c>
      <c r="Q119" s="108">
        <f t="shared" si="14"/>
        <v>0</v>
      </c>
      <c r="R119" s="108">
        <f t="shared" si="22"/>
        <v>0</v>
      </c>
      <c r="S119" s="108">
        <f t="shared" si="15"/>
        <v>0</v>
      </c>
      <c r="T119" s="108">
        <f t="shared" si="16"/>
        <v>1</v>
      </c>
      <c r="U119" s="108">
        <f t="shared" si="23"/>
        <v>43</v>
      </c>
      <c r="V119" s="108">
        <f t="shared" si="17"/>
        <v>43</v>
      </c>
    </row>
    <row r="120" spans="1:22" ht="57" x14ac:dyDescent="0.2">
      <c r="A120" s="4" t="str">
        <f>Questions!$A120</f>
        <v>DATA-09</v>
      </c>
      <c r="B120" s="4" t="str">
        <f t="shared" si="18"/>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Evaluation'!$A$56:$K$346,3,0)&amp;""</f>
        <v>Yes</v>
      </c>
      <c r="G120" s="4" t="str">
        <f>VLOOKUP($A120,'Institution Evaluation'!$A$56:$K$346,7,0)&amp;""</f>
        <v>Yes</v>
      </c>
      <c r="H120" s="4" t="str">
        <f>VLOOKUP($A120,'Institution Evaluation'!$A$56:$K$346,8,0)&amp;""</f>
        <v/>
      </c>
      <c r="I120" s="4" t="str">
        <f>VLOOKUP($A120,'Institution Evaluation'!$A$56:$K$346,9,0)&amp;""</f>
        <v>Standard Importance</v>
      </c>
      <c r="J120" s="4" t="str">
        <f>VLOOKUP($A120,'Institution Evaluation'!$A$56:$K$346,10,0)&amp;""</f>
        <v/>
      </c>
      <c r="K120" s="4">
        <f t="shared" si="19"/>
        <v>10</v>
      </c>
      <c r="L120" s="108">
        <f>IF($E120="Not Scored", "N/A",IF(AND($D120='Auto Responses'!$J$27,$H120=""),"N/A",IF(AND($D120='Auto Responses'!$J$27,$H120='Auto Responses'!$J$7),1,IF(AND($D120='Auto Responses'!$J$27,$H120='Auto Responses'!$J$8),0,IF(OR($F120=$G120,$H120='Auto Responses'!$J$7),1,0)))))</f>
        <v>1</v>
      </c>
      <c r="M120" s="4" t="str">
        <f>VLOOKUP($A120,'Institution Evaluation'!$A$56:$K$346,10,0)&amp;""</f>
        <v/>
      </c>
      <c r="N120" s="4">
        <f t="shared" si="20"/>
        <v>0</v>
      </c>
      <c r="O120" s="108">
        <f t="shared" si="24"/>
        <v>10</v>
      </c>
      <c r="P120" s="108">
        <f t="shared" si="25"/>
        <v>10</v>
      </c>
      <c r="Q120" s="108">
        <f t="shared" si="14"/>
        <v>0</v>
      </c>
      <c r="R120" s="108">
        <f t="shared" si="22"/>
        <v>0</v>
      </c>
      <c r="S120" s="108">
        <f t="shared" si="15"/>
        <v>0</v>
      </c>
      <c r="T120" s="108">
        <f t="shared" si="16"/>
        <v>0</v>
      </c>
      <c r="U120" s="108">
        <f t="shared" si="23"/>
        <v>43</v>
      </c>
      <c r="V120" s="108">
        <f t="shared" si="17"/>
        <v>0</v>
      </c>
    </row>
    <row r="121" spans="1:22" ht="57" x14ac:dyDescent="0.2">
      <c r="A121" s="4" t="str">
        <f>Questions!$A121</f>
        <v>DATA-10</v>
      </c>
      <c r="B121" s="4" t="str">
        <f t="shared" si="18"/>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Evaluation'!$A$56:$K$346,3,0)&amp;""</f>
        <v>Yes</v>
      </c>
      <c r="G121" s="4" t="str">
        <f>VLOOKUP($A121,'Institution Evaluation'!$A$56:$K$346,7,0)&amp;""</f>
        <v>Yes</v>
      </c>
      <c r="H121" s="4" t="str">
        <f>VLOOKUP($A121,'Institution Evaluation'!$A$56:$K$346,8,0)&amp;""</f>
        <v/>
      </c>
      <c r="I121" s="4" t="str">
        <f>VLOOKUP($A121,'Institution Evaluation'!$A$56:$K$346,9,0)&amp;""</f>
        <v>Standard Importance</v>
      </c>
      <c r="J121" s="4" t="str">
        <f>VLOOKUP($A121,'Institution Evaluation'!$A$56:$K$346,10,0)&amp;""</f>
        <v/>
      </c>
      <c r="K121" s="4">
        <f t="shared" si="19"/>
        <v>10</v>
      </c>
      <c r="L121" s="108">
        <f>IF($E121="Not Scored", "N/A",IF(AND($D121='Auto Responses'!$J$27,$H121=""),"N/A",IF(AND($D121='Auto Responses'!$J$27,$H121='Auto Responses'!$J$7),1,IF(AND($D121='Auto Responses'!$J$27,$H121='Auto Responses'!$J$8),0,IF(OR($F121=$G121,$H121='Auto Responses'!$J$7),1,0)))))</f>
        <v>1</v>
      </c>
      <c r="M121" s="4" t="str">
        <f>VLOOKUP($A121,'Institution Evaluation'!$A$56:$K$346,10,0)&amp;""</f>
        <v/>
      </c>
      <c r="N121" s="4">
        <f t="shared" si="20"/>
        <v>0</v>
      </c>
      <c r="O121" s="108">
        <f t="shared" si="24"/>
        <v>10</v>
      </c>
      <c r="P121" s="108">
        <f t="shared" si="25"/>
        <v>10</v>
      </c>
      <c r="Q121" s="108">
        <f t="shared" si="14"/>
        <v>0</v>
      </c>
      <c r="R121" s="108">
        <f t="shared" si="22"/>
        <v>0</v>
      </c>
      <c r="S121" s="108">
        <f t="shared" si="15"/>
        <v>0</v>
      </c>
      <c r="T121" s="108">
        <f t="shared" si="16"/>
        <v>0</v>
      </c>
      <c r="U121" s="108">
        <f t="shared" si="23"/>
        <v>43</v>
      </c>
      <c r="V121" s="108">
        <f t="shared" si="17"/>
        <v>0</v>
      </c>
    </row>
    <row r="122" spans="1:22" ht="57" x14ac:dyDescent="0.2">
      <c r="A122" s="4" t="str">
        <f>Questions!$A122</f>
        <v>DATA-11</v>
      </c>
      <c r="B122" s="4" t="str">
        <f t="shared" si="18"/>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Evaluation'!$A$56:$K$346,3,0)&amp;""</f>
        <v>Yes</v>
      </c>
      <c r="G122" s="4" t="str">
        <f>VLOOKUP($A122,'Institution Evaluation'!$A$56:$K$346,7,0)&amp;""</f>
        <v>Yes</v>
      </c>
      <c r="H122" s="4" t="str">
        <f>VLOOKUP($A122,'Institution Evaluation'!$A$56:$K$346,8,0)&amp;""</f>
        <v/>
      </c>
      <c r="I122" s="4" t="str">
        <f>VLOOKUP($A122,'Institution Evaluation'!$A$56:$K$346,9,0)&amp;""</f>
        <v>Standard Importance</v>
      </c>
      <c r="J122" s="4" t="str">
        <f>VLOOKUP($A122,'Institution Evaluation'!$A$56:$K$346,10,0)&amp;""</f>
        <v/>
      </c>
      <c r="K122" s="4">
        <f t="shared" si="19"/>
        <v>10</v>
      </c>
      <c r="L122" s="108">
        <f>IF($E122="Not Scored", "N/A",IF(AND($D122='Auto Responses'!$J$27,$H122=""),"N/A",IF(AND($D122='Auto Responses'!$J$27,$H122='Auto Responses'!$J$7),1,IF(AND($D122='Auto Responses'!$J$27,$H122='Auto Responses'!$J$8),0,IF(OR($F122=$G122,$H122='Auto Responses'!$J$7),1,0)))))</f>
        <v>1</v>
      </c>
      <c r="M122" s="4" t="str">
        <f>VLOOKUP($A122,'Institution Evaluation'!$A$56:$K$346,10,0)&amp;""</f>
        <v/>
      </c>
      <c r="N122" s="4">
        <f t="shared" si="20"/>
        <v>0</v>
      </c>
      <c r="O122" s="108">
        <f t="shared" si="24"/>
        <v>10</v>
      </c>
      <c r="P122" s="108">
        <f t="shared" si="25"/>
        <v>10</v>
      </c>
      <c r="Q122" s="108">
        <f t="shared" si="14"/>
        <v>0</v>
      </c>
      <c r="R122" s="108">
        <f t="shared" si="22"/>
        <v>0</v>
      </c>
      <c r="S122" s="108">
        <f t="shared" si="15"/>
        <v>0</v>
      </c>
      <c r="T122" s="108">
        <f t="shared" si="16"/>
        <v>0</v>
      </c>
      <c r="U122" s="108">
        <f t="shared" si="23"/>
        <v>43</v>
      </c>
      <c r="V122" s="108">
        <f t="shared" si="17"/>
        <v>0</v>
      </c>
    </row>
    <row r="123" spans="1:22" ht="57" x14ac:dyDescent="0.2">
      <c r="A123" s="4" t="str">
        <f>Questions!$A123</f>
        <v>DATA-12</v>
      </c>
      <c r="B123" s="4" t="str">
        <f t="shared" si="18"/>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Evaluation'!$A$56:$K$346,3,0)&amp;""</f>
        <v>No</v>
      </c>
      <c r="G123" s="4" t="str">
        <f>VLOOKUP($A123,'Institution Evaluation'!$A$56:$K$346,7,0)&amp;""</f>
        <v>Yes</v>
      </c>
      <c r="H123" s="4" t="str">
        <f>VLOOKUP($A123,'Institution Evaluation'!$A$56:$K$346,8,0)&amp;""</f>
        <v/>
      </c>
      <c r="I123" s="4" t="str">
        <f>VLOOKUP($A123,'Institution Evaluation'!$A$56:$K$346,9,0)&amp;""</f>
        <v>Standard Importance</v>
      </c>
      <c r="J123" s="4" t="str">
        <f>VLOOKUP($A123,'Institution Evaluation'!$A$56:$K$346,10,0)&amp;""</f>
        <v/>
      </c>
      <c r="K123" s="4">
        <f t="shared" si="19"/>
        <v>10</v>
      </c>
      <c r="L123" s="108">
        <f>IF($E123="Not Scored", "N/A",IF(AND($D123='Auto Responses'!$J$27,$H123=""),"N/A",IF(AND($D123='Auto Responses'!$J$27,$H123='Auto Responses'!$J$7),1,IF(AND($D123='Auto Responses'!$J$27,$H123='Auto Responses'!$J$8),0,IF(OR($F123=$G123,$H123='Auto Responses'!$J$7),1,0)))))</f>
        <v>0</v>
      </c>
      <c r="M123" s="4" t="str">
        <f>VLOOKUP($A123,'Institution Evaluation'!$A$56:$K$346,10,0)&amp;""</f>
        <v/>
      </c>
      <c r="N123" s="4">
        <f t="shared" si="20"/>
        <v>0</v>
      </c>
      <c r="O123" s="108">
        <f t="shared" si="24"/>
        <v>10</v>
      </c>
      <c r="P123" s="108">
        <f t="shared" si="25"/>
        <v>0</v>
      </c>
      <c r="Q123" s="108">
        <f t="shared" si="14"/>
        <v>0</v>
      </c>
      <c r="R123" s="108">
        <f t="shared" si="22"/>
        <v>0</v>
      </c>
      <c r="S123" s="108">
        <f t="shared" si="15"/>
        <v>0</v>
      </c>
      <c r="T123" s="108">
        <f t="shared" si="16"/>
        <v>0</v>
      </c>
      <c r="U123" s="108">
        <f t="shared" si="23"/>
        <v>43</v>
      </c>
      <c r="V123" s="108">
        <f t="shared" si="17"/>
        <v>0</v>
      </c>
    </row>
    <row r="124" spans="1:22" ht="57" x14ac:dyDescent="0.2">
      <c r="A124" s="4" t="str">
        <f>Questions!$A124</f>
        <v>DATA-13</v>
      </c>
      <c r="B124" s="4" t="str">
        <f t="shared" si="18"/>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Evaluation'!$A$56:$K$346,3,0)&amp;""</f>
        <v>No</v>
      </c>
      <c r="G124" s="4" t="str">
        <f>VLOOKUP($A124,'Institution Evaluation'!$A$56:$K$346,7,0)&amp;""</f>
        <v>Yes</v>
      </c>
      <c r="H124" s="4" t="str">
        <f>VLOOKUP($A124,'Institution Evaluation'!$A$56:$K$346,8,0)&amp;""</f>
        <v/>
      </c>
      <c r="I124" s="4" t="str">
        <f>VLOOKUP($A124,'Institution Evaluation'!$A$56:$K$346,9,0)&amp;""</f>
        <v>Standard Importance</v>
      </c>
      <c r="J124" s="4" t="str">
        <f>VLOOKUP($A124,'Institution Evaluation'!$A$56:$K$346,10,0)&amp;""</f>
        <v/>
      </c>
      <c r="K124" s="4">
        <f t="shared" si="19"/>
        <v>10</v>
      </c>
      <c r="L124" s="108">
        <f>IF($E124="Not Scored", "N/A",IF(AND($D124='Auto Responses'!$J$27,$H124=""),"N/A",IF(AND($D124='Auto Responses'!$J$27,$H124='Auto Responses'!$J$7),1,IF(AND($D124='Auto Responses'!$J$27,$H124='Auto Responses'!$J$8),0,IF(OR($F124=$G124,$H124='Auto Responses'!$J$7),1,0)))))</f>
        <v>0</v>
      </c>
      <c r="M124" s="4" t="str">
        <f>VLOOKUP($A124,'Institution Evaluation'!$A$56:$K$346,10,0)&amp;""</f>
        <v/>
      </c>
      <c r="N124" s="4">
        <f t="shared" si="20"/>
        <v>0</v>
      </c>
      <c r="O124" s="108">
        <f t="shared" si="24"/>
        <v>10</v>
      </c>
      <c r="P124" s="108">
        <f t="shared" si="25"/>
        <v>0</v>
      </c>
      <c r="Q124" s="108">
        <f t="shared" si="14"/>
        <v>0</v>
      </c>
      <c r="R124" s="108">
        <f t="shared" si="22"/>
        <v>0</v>
      </c>
      <c r="S124" s="108">
        <f t="shared" si="15"/>
        <v>0</v>
      </c>
      <c r="T124" s="108">
        <f t="shared" si="16"/>
        <v>0</v>
      </c>
      <c r="U124" s="108">
        <f t="shared" si="23"/>
        <v>43</v>
      </c>
      <c r="V124" s="108">
        <f t="shared" si="17"/>
        <v>0</v>
      </c>
    </row>
    <row r="125" spans="1:22" ht="71.25" x14ac:dyDescent="0.2">
      <c r="A125" s="4" t="str">
        <f>Questions!$A126</f>
        <v>DATA-15</v>
      </c>
      <c r="B125" s="4" t="str">
        <f t="shared" si="18"/>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Evaluation'!$A$56:$K$346,3,0)&amp;""</f>
        <v>No</v>
      </c>
      <c r="G125" s="4" t="str">
        <f>VLOOKUP($A125,'Institution Evaluation'!$A$56:$K$346,7,0)&amp;""</f>
        <v>Yes</v>
      </c>
      <c r="H125" s="4" t="str">
        <f>VLOOKUP($A125,'Institution Evaluation'!$A$56:$K$346,8,0)&amp;""</f>
        <v/>
      </c>
      <c r="I125" s="4" t="str">
        <f>VLOOKUP($A125,'Institution Evaluation'!$A$56:$K$346,9,0)&amp;""</f>
        <v>Standard Importance</v>
      </c>
      <c r="J125" s="4" t="str">
        <f>VLOOKUP($A125,'Institution Evaluation'!$A$56:$K$346,10,0)&amp;""</f>
        <v/>
      </c>
      <c r="K125" s="4">
        <f t="shared" si="19"/>
        <v>10</v>
      </c>
      <c r="L125" s="108">
        <f>IF($E125="Not Scored", "N/A",IF(AND($D125='Auto Responses'!$J$27,$H125=""),"N/A",IF(AND($D125='Auto Responses'!$J$27,$H125='Auto Responses'!$J$7),1,IF(AND($D125='Auto Responses'!$J$27,$H125='Auto Responses'!$J$8),0,IF(OR($F125=$G125,$H125='Auto Responses'!$J$7),1,0)))))</f>
        <v>0</v>
      </c>
      <c r="M125" s="4" t="str">
        <f>VLOOKUP($A125,'Institution Evaluation'!$A$56:$K$346,10,0)&amp;""</f>
        <v/>
      </c>
      <c r="N125" s="4">
        <f t="shared" si="20"/>
        <v>0</v>
      </c>
      <c r="O125" s="108">
        <f t="shared" si="24"/>
        <v>10</v>
      </c>
      <c r="P125" s="108">
        <f t="shared" si="25"/>
        <v>0</v>
      </c>
      <c r="Q125" s="108">
        <f t="shared" si="14"/>
        <v>0</v>
      </c>
      <c r="R125" s="108">
        <f t="shared" si="22"/>
        <v>0</v>
      </c>
      <c r="S125" s="108">
        <f t="shared" si="15"/>
        <v>0</v>
      </c>
      <c r="T125" s="108">
        <f t="shared" si="16"/>
        <v>0</v>
      </c>
      <c r="U125" s="108">
        <f t="shared" si="23"/>
        <v>43</v>
      </c>
      <c r="V125" s="108">
        <f t="shared" si="17"/>
        <v>0</v>
      </c>
    </row>
    <row r="126" spans="1:22" ht="57" x14ac:dyDescent="0.2">
      <c r="A126" s="4" t="str">
        <f>Questions!$A127</f>
        <v>DATA-16</v>
      </c>
      <c r="B126" s="4" t="str">
        <f t="shared" si="18"/>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Evaluation'!$A$56:$K$346,3,0)&amp;""</f>
        <v>No</v>
      </c>
      <c r="G126" s="4" t="str">
        <f>VLOOKUP($A126,'Institution Evaluation'!$A$56:$K$346,7,0)&amp;""</f>
        <v>Yes</v>
      </c>
      <c r="H126" s="4" t="str">
        <f>VLOOKUP($A126,'Institution Evaluation'!$A$56:$K$346,8,0)&amp;""</f>
        <v/>
      </c>
      <c r="I126" s="4" t="str">
        <f>VLOOKUP($A126,'Institution Evaluation'!$A$56:$K$346,9,0)&amp;""</f>
        <v>Standard Importance</v>
      </c>
      <c r="J126" s="4" t="str">
        <f>VLOOKUP($A126,'Institution Evaluation'!$A$56:$K$346,10,0)&amp;""</f>
        <v/>
      </c>
      <c r="K126" s="4">
        <f t="shared" si="19"/>
        <v>10</v>
      </c>
      <c r="L126" s="108">
        <f>IF($E126="Not Scored", "N/A",IF(AND($D126='Auto Responses'!$J$27,$H126=""),"N/A",IF(AND($D126='Auto Responses'!$J$27,$H126='Auto Responses'!$J$7),1,IF(AND($D126='Auto Responses'!$J$27,$H126='Auto Responses'!$J$8),0,IF(OR($F126=$G126,$H126='Auto Responses'!$J$7),1,0)))))</f>
        <v>0</v>
      </c>
      <c r="M126" s="4" t="str">
        <f>VLOOKUP($A126,'Institution Evaluation'!$A$56:$K$346,10,0)&amp;""</f>
        <v/>
      </c>
      <c r="N126" s="4">
        <f t="shared" si="20"/>
        <v>0</v>
      </c>
      <c r="O126" s="108">
        <f t="shared" si="24"/>
        <v>10</v>
      </c>
      <c r="P126" s="108">
        <f t="shared" si="25"/>
        <v>0</v>
      </c>
      <c r="Q126" s="108">
        <f t="shared" si="14"/>
        <v>0</v>
      </c>
      <c r="R126" s="108">
        <f t="shared" si="22"/>
        <v>0</v>
      </c>
      <c r="S126" s="108">
        <f t="shared" si="15"/>
        <v>0</v>
      </c>
      <c r="T126" s="108">
        <f t="shared" si="16"/>
        <v>0</v>
      </c>
      <c r="U126" s="108">
        <f t="shared" si="23"/>
        <v>43</v>
      </c>
      <c r="V126" s="108">
        <f t="shared" si="17"/>
        <v>0</v>
      </c>
    </row>
    <row r="127" spans="1:22" ht="57" x14ac:dyDescent="0.2">
      <c r="A127" s="4" t="str">
        <f>Questions!$A128</f>
        <v>DATA-17</v>
      </c>
      <c r="B127" s="4" t="str">
        <f t="shared" si="18"/>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Evaluation'!$A$56:$K$346,3,0)&amp;""</f>
        <v>Yes</v>
      </c>
      <c r="G127" s="4" t="str">
        <f>VLOOKUP($A127,'Institution Evaluation'!$A$56:$K$346,7,0)&amp;""</f>
        <v>No</v>
      </c>
      <c r="H127" s="4" t="str">
        <f>VLOOKUP($A127,'Institution Evaluation'!$A$56:$K$346,8,0)&amp;""</f>
        <v/>
      </c>
      <c r="I127" s="4" t="str">
        <f>VLOOKUP($A127,'Institution Evaluation'!$A$56:$K$346,9,0)&amp;""</f>
        <v>Standard Importance</v>
      </c>
      <c r="J127" s="4" t="str">
        <f>VLOOKUP($A127,'Institution Evaluation'!$A$56:$K$346,10,0)&amp;""</f>
        <v/>
      </c>
      <c r="K127" s="4">
        <f t="shared" si="19"/>
        <v>10</v>
      </c>
      <c r="L127" s="108">
        <f>IF($E127="Not Scored", "N/A",IF(AND($D127='Auto Responses'!$J$27,$H127=""),"N/A",IF(AND($D127='Auto Responses'!$J$27,$H127='Auto Responses'!$J$7),1,IF(AND($D127='Auto Responses'!$J$27,$H127='Auto Responses'!$J$8),0,IF(OR($F127=$G127,$H127='Auto Responses'!$J$7),1,0)))))</f>
        <v>0</v>
      </c>
      <c r="M127" s="4" t="str">
        <f>VLOOKUP($A127,'Institution Evaluation'!$A$56:$K$346,10,0)&amp;""</f>
        <v/>
      </c>
      <c r="N127" s="4">
        <f t="shared" si="20"/>
        <v>0</v>
      </c>
      <c r="O127" s="108">
        <f t="shared" si="24"/>
        <v>10</v>
      </c>
      <c r="P127" s="108">
        <f t="shared" si="25"/>
        <v>0</v>
      </c>
      <c r="Q127" s="108">
        <f t="shared" si="14"/>
        <v>0</v>
      </c>
      <c r="R127" s="108">
        <f t="shared" si="22"/>
        <v>0</v>
      </c>
      <c r="S127" s="108">
        <f t="shared" si="15"/>
        <v>0</v>
      </c>
      <c r="T127" s="108">
        <f t="shared" si="16"/>
        <v>0</v>
      </c>
      <c r="U127" s="108">
        <f t="shared" si="23"/>
        <v>43</v>
      </c>
      <c r="V127" s="108">
        <f t="shared" si="17"/>
        <v>0</v>
      </c>
    </row>
    <row r="128" spans="1:22" ht="57" x14ac:dyDescent="0.2">
      <c r="A128" s="4" t="str">
        <f>Questions!$A129</f>
        <v>DATA-18</v>
      </c>
      <c r="B128" s="4" t="str">
        <f t="shared" si="18"/>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Evaluation'!$A$56:$K$346,3,0)&amp;""</f>
        <v>Yes</v>
      </c>
      <c r="G128" s="4" t="str">
        <f>VLOOKUP($A128,'Institution Evaluation'!$A$56:$K$346,7,0)&amp;""</f>
        <v>Yes</v>
      </c>
      <c r="H128" s="4" t="str">
        <f>VLOOKUP($A128,'Institution Evaluation'!$A$56:$K$346,8,0)&amp;""</f>
        <v/>
      </c>
      <c r="I128" s="4" t="str">
        <f>VLOOKUP($A128,'Institution Evaluation'!$A$56:$K$346,9,0)&amp;""</f>
        <v>Standard Importance</v>
      </c>
      <c r="J128" s="4" t="str">
        <f>VLOOKUP($A128,'Institution Evaluation'!$A$56:$K$346,10,0)&amp;""</f>
        <v/>
      </c>
      <c r="K128" s="4">
        <f t="shared" si="19"/>
        <v>10</v>
      </c>
      <c r="L128" s="108">
        <f>IF($E128="Not Scored", "N/A",IF(AND($D128='Auto Responses'!$J$27,$H128=""),"N/A",IF(AND($D128='Auto Responses'!$J$27,$H128='Auto Responses'!$J$7),1,IF(AND($D128='Auto Responses'!$J$27,$H128='Auto Responses'!$J$8),0,IF(OR($F128=$G128,$H128='Auto Responses'!$J$7),1,0)))))</f>
        <v>1</v>
      </c>
      <c r="M128" s="4" t="str">
        <f>VLOOKUP($A128,'Institution Evaluation'!$A$56:$K$346,10,0)&amp;""</f>
        <v/>
      </c>
      <c r="N128" s="4">
        <f t="shared" si="20"/>
        <v>0</v>
      </c>
      <c r="O128" s="108">
        <f t="shared" si="24"/>
        <v>10</v>
      </c>
      <c r="P128" s="108">
        <f t="shared" si="25"/>
        <v>10</v>
      </c>
      <c r="Q128" s="108">
        <f t="shared" si="14"/>
        <v>0</v>
      </c>
      <c r="R128" s="108">
        <f t="shared" si="22"/>
        <v>0</v>
      </c>
      <c r="S128" s="108">
        <f t="shared" si="15"/>
        <v>0</v>
      </c>
      <c r="T128" s="108">
        <f t="shared" si="16"/>
        <v>0</v>
      </c>
      <c r="U128" s="108">
        <f t="shared" si="23"/>
        <v>43</v>
      </c>
      <c r="V128" s="108">
        <f t="shared" si="17"/>
        <v>0</v>
      </c>
    </row>
    <row r="129" spans="1:22" ht="71.25" x14ac:dyDescent="0.2">
      <c r="A129" s="4" t="str">
        <f>Questions!$A130</f>
        <v>DATA-19</v>
      </c>
      <c r="B129" s="4" t="str">
        <f t="shared" si="18"/>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Evaluation'!$A$56:$K$346,3,0)&amp;""</f>
        <v>No</v>
      </c>
      <c r="G129" s="4" t="str">
        <f>VLOOKUP($A129,'Institution Evaluation'!$A$56:$K$346,7,0)&amp;""</f>
        <v>Yes</v>
      </c>
      <c r="H129" s="4" t="str">
        <f>VLOOKUP($A129,'Institution Evaluation'!$A$56:$K$346,8,0)&amp;""</f>
        <v/>
      </c>
      <c r="I129" s="4" t="str">
        <f>VLOOKUP($A129,'Institution Evaluation'!$A$56:$K$346,9,0)&amp;""</f>
        <v>Minor Importance</v>
      </c>
      <c r="J129" s="4" t="str">
        <f>VLOOKUP($A129,'Institution Evaluation'!$A$56:$K$346,10,0)&amp;""</f>
        <v/>
      </c>
      <c r="K129" s="4">
        <f t="shared" si="19"/>
        <v>5</v>
      </c>
      <c r="L129" s="108">
        <f>IF($E129="Not Scored", "N/A",IF(AND($D129='Auto Responses'!$J$27,$H129=""),"N/A",IF(AND($D129='Auto Responses'!$J$27,$H129='Auto Responses'!$J$7),1,IF(AND($D129='Auto Responses'!$J$27,$H129='Auto Responses'!$J$8),0,IF(OR($F129=$G129,$H129='Auto Responses'!$J$7),1,0)))))</f>
        <v>0</v>
      </c>
      <c r="M129" s="4" t="str">
        <f>VLOOKUP($A129,'Institution Evaluation'!$A$56:$K$346,10,0)&amp;""</f>
        <v/>
      </c>
      <c r="N129" s="4">
        <f t="shared" si="20"/>
        <v>0</v>
      </c>
      <c r="O129" s="108">
        <f t="shared" si="24"/>
        <v>5</v>
      </c>
      <c r="P129" s="108">
        <f t="shared" si="25"/>
        <v>0</v>
      </c>
      <c r="Q129" s="108">
        <f t="shared" si="14"/>
        <v>0</v>
      </c>
      <c r="R129" s="108">
        <f t="shared" si="22"/>
        <v>0</v>
      </c>
      <c r="S129" s="108">
        <f t="shared" si="15"/>
        <v>0</v>
      </c>
      <c r="T129" s="108">
        <f t="shared" si="16"/>
        <v>0</v>
      </c>
      <c r="U129" s="108">
        <f t="shared" si="23"/>
        <v>43</v>
      </c>
      <c r="V129" s="108">
        <f t="shared" si="17"/>
        <v>0</v>
      </c>
    </row>
    <row r="130" spans="1:22" ht="57" x14ac:dyDescent="0.2">
      <c r="A130" s="4" t="str">
        <f>Questions!$A131</f>
        <v>DATA-20</v>
      </c>
      <c r="B130" s="4" t="str">
        <f t="shared" si="18"/>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Evaluation'!$A$56:$K$346,3,0)&amp;""</f>
        <v>Yes</v>
      </c>
      <c r="G130" s="4" t="str">
        <f>VLOOKUP($A130,'Institution Evaluation'!$A$56:$K$346,7,0)&amp;""</f>
        <v>Yes</v>
      </c>
      <c r="H130" s="4" t="str">
        <f>VLOOKUP($A130,'Institution Evaluation'!$A$56:$K$346,8,0)&amp;""</f>
        <v/>
      </c>
      <c r="I130" s="4" t="str">
        <f>VLOOKUP($A130,'Institution Evaluation'!$A$56:$K$346,9,0)&amp;""</f>
        <v>Minor Importance</v>
      </c>
      <c r="J130" s="4" t="str">
        <f>VLOOKUP($A130,'Institution Evaluation'!$A$56:$K$346,10,0)&amp;""</f>
        <v/>
      </c>
      <c r="K130" s="4">
        <f t="shared" si="19"/>
        <v>5</v>
      </c>
      <c r="L130" s="108">
        <f>IF($E130="Not Scored", "N/A",IF(AND($D130='Auto Responses'!$J$27,$H130=""),"N/A",IF(AND($D130='Auto Responses'!$J$27,$H130='Auto Responses'!$J$7),1,IF(AND($D130='Auto Responses'!$J$27,$H130='Auto Responses'!$J$8),0,IF(OR($F130=$G130,$H130='Auto Responses'!$J$7),1,0)))))</f>
        <v>1</v>
      </c>
      <c r="M130" s="4" t="str">
        <f>VLOOKUP($A130,'Institution Evaluation'!$A$56:$K$346,10,0)&amp;""</f>
        <v/>
      </c>
      <c r="N130" s="4">
        <f t="shared" si="20"/>
        <v>0</v>
      </c>
      <c r="O130" s="108">
        <f t="shared" si="24"/>
        <v>5</v>
      </c>
      <c r="P130" s="108">
        <f t="shared" si="25"/>
        <v>5</v>
      </c>
      <c r="Q130" s="108">
        <f t="shared" ref="Q130:Q189" si="26">IF(M130="TRUE",1,0)</f>
        <v>0</v>
      </c>
      <c r="R130" s="108">
        <f t="shared" si="22"/>
        <v>0</v>
      </c>
      <c r="S130" s="108">
        <f t="shared" ref="S130:S189" si="27">IF(Q130=0,0,R130)</f>
        <v>0</v>
      </c>
      <c r="T130" s="108">
        <f t="shared" ref="T130:T189" si="28">IF(N130=1,1,0)</f>
        <v>0</v>
      </c>
      <c r="U130" s="108">
        <f t="shared" si="23"/>
        <v>43</v>
      </c>
      <c r="V130" s="108">
        <f t="shared" ref="V130:V189" si="29">IF(T130=0,0,U130)</f>
        <v>0</v>
      </c>
    </row>
    <row r="131" spans="1:22" ht="57" x14ac:dyDescent="0.2">
      <c r="A131" s="4" t="str">
        <f>Questions!$A132</f>
        <v>DATA-21</v>
      </c>
      <c r="B131" s="4" t="str">
        <f t="shared" ref="B131:B190" si="30">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Evaluation'!$A$56:$K$346,3,0)&amp;""</f>
        <v>Yes</v>
      </c>
      <c r="G131" s="4" t="str">
        <f>VLOOKUP($A131,'Institution Evaluation'!$A$56:$K$346,7,0)&amp;""</f>
        <v>Yes</v>
      </c>
      <c r="H131" s="4" t="str">
        <f>VLOOKUP($A131,'Institution Evaluation'!$A$56:$K$346,8,0)&amp;""</f>
        <v/>
      </c>
      <c r="I131" s="4" t="str">
        <f>VLOOKUP($A131,'Institution Evaluation'!$A$56:$K$346,9,0)&amp;""</f>
        <v>Minor Importance</v>
      </c>
      <c r="J131" s="4" t="str">
        <f>VLOOKUP($A131,'Institution Evaluation'!$A$56:$K$346,10,0)&amp;""</f>
        <v/>
      </c>
      <c r="K131" s="4">
        <f t="shared" ref="K131:K190" si="31">IF($I131="Critical Importance",20,IF($I131="Minor Importance",5,10))</f>
        <v>5</v>
      </c>
      <c r="L131" s="108">
        <f>IF($E131="Not Scored", "N/A",IF(AND($D131='Auto Responses'!$J$27,$H131=""),"N/A",IF(AND($D131='Auto Responses'!$J$27,$H131='Auto Responses'!$J$7),1,IF(AND($D131='Auto Responses'!$J$27,$H131='Auto Responses'!$J$8),0,IF(OR($F131=$G131,$H131='Auto Responses'!$J$7),1,0)))))</f>
        <v>1</v>
      </c>
      <c r="M131" s="4" t="str">
        <f>VLOOKUP($A131,'Institution Evaluation'!$A$56:$K$346,10,0)&amp;""</f>
        <v/>
      </c>
      <c r="N131" s="4">
        <f t="shared" ref="N131:N190" si="32">IF($J131="Critical Importance",1,IF(AND($J131="",$I131="Critical Importance"),1,0))</f>
        <v>0</v>
      </c>
      <c r="O131" s="108">
        <f t="shared" ref="O131:O175" si="33">IF($E131="Not Scored","N/A",IF($J131="",$K131,IF($J131="Minor Importance",5,IF($J131="Standard Importance",10,IF($J131="Critical Importance",20,0)))))</f>
        <v>5</v>
      </c>
      <c r="P131" s="108">
        <f t="shared" ref="P131:P190" si="34">IF(OR($O131="N/A",$L131="N/A"),"N/A",$O131*$L131)</f>
        <v>5</v>
      </c>
      <c r="Q131" s="108">
        <f t="shared" si="26"/>
        <v>0</v>
      </c>
      <c r="R131" s="108">
        <f t="shared" si="22"/>
        <v>0</v>
      </c>
      <c r="S131" s="108">
        <f t="shared" si="27"/>
        <v>0</v>
      </c>
      <c r="T131" s="108">
        <f t="shared" si="28"/>
        <v>0</v>
      </c>
      <c r="U131" s="108">
        <f t="shared" si="23"/>
        <v>43</v>
      </c>
      <c r="V131" s="108">
        <f t="shared" si="29"/>
        <v>0</v>
      </c>
    </row>
    <row r="132" spans="1:22" ht="57" x14ac:dyDescent="0.2">
      <c r="A132" s="4" t="str">
        <f>Questions!$A133</f>
        <v>DATA-22</v>
      </c>
      <c r="B132" s="4" t="str">
        <f t="shared" si="30"/>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Evaluation'!$A$56:$K$346,3,0)&amp;""</f>
        <v>No</v>
      </c>
      <c r="G132" s="4" t="str">
        <f>VLOOKUP($A132,'Institution Evaluation'!$A$56:$K$346,7,0)&amp;""</f>
        <v>Yes</v>
      </c>
      <c r="H132" s="4" t="str">
        <f>VLOOKUP($A132,'Institution Evaluation'!$A$56:$K$346,8,0)&amp;""</f>
        <v/>
      </c>
      <c r="I132" s="4" t="str">
        <f>VLOOKUP($A132,'Institution Evaluation'!$A$56:$K$346,9,0)&amp;""</f>
        <v>Minor Importance</v>
      </c>
      <c r="J132" s="4" t="str">
        <f>VLOOKUP($A132,'Institution Evaluation'!$A$56:$K$346,10,0)&amp;""</f>
        <v/>
      </c>
      <c r="K132" s="4">
        <f t="shared" si="31"/>
        <v>5</v>
      </c>
      <c r="L132" s="108">
        <f>IF($E132="Not Scored", "N/A",IF(AND($D132='Auto Responses'!$J$27,$H132=""),"N/A",IF(AND($D132='Auto Responses'!$J$27,$H132='Auto Responses'!$J$7),1,IF(AND($D132='Auto Responses'!$J$27,$H132='Auto Responses'!$J$8),0,IF(OR($F132=$G132,$H132='Auto Responses'!$J$7),1,0)))))</f>
        <v>0</v>
      </c>
      <c r="M132" s="4" t="str">
        <f>VLOOKUP($A132,'Institution Evaluation'!$A$56:$K$346,10,0)&amp;""</f>
        <v/>
      </c>
      <c r="N132" s="4">
        <f t="shared" si="32"/>
        <v>0</v>
      </c>
      <c r="O132" s="108">
        <f t="shared" si="33"/>
        <v>5</v>
      </c>
      <c r="P132" s="108">
        <f t="shared" si="34"/>
        <v>0</v>
      </c>
      <c r="Q132" s="108">
        <f t="shared" si="26"/>
        <v>0</v>
      </c>
      <c r="R132" s="108">
        <f t="shared" si="22"/>
        <v>0</v>
      </c>
      <c r="S132" s="108">
        <f t="shared" si="27"/>
        <v>0</v>
      </c>
      <c r="T132" s="108">
        <f t="shared" si="28"/>
        <v>0</v>
      </c>
      <c r="U132" s="108">
        <f t="shared" si="23"/>
        <v>43</v>
      </c>
      <c r="V132" s="108">
        <f t="shared" si="29"/>
        <v>0</v>
      </c>
    </row>
    <row r="133" spans="1:22" ht="57" x14ac:dyDescent="0.2">
      <c r="A133" s="4" t="str">
        <f>Questions!$A125</f>
        <v>DATA-14</v>
      </c>
      <c r="B133" s="4" t="str">
        <f t="shared" si="30"/>
        <v>DATA</v>
      </c>
      <c r="C133" s="4" t="str">
        <f>VLOOKUP($A133,Questions!$A$3:$L$333,2,0)&amp;""</f>
        <v>Are data backups encrypted?</v>
      </c>
      <c r="D133" s="4" t="str">
        <f>VLOOKUP($A133,Questions!$A$3:$L$333,11,0)&amp;""</f>
        <v/>
      </c>
      <c r="E133" s="4" t="str">
        <f>VLOOKUP($A133,Questions!$A$3:$L$333,12,0)&amp;""</f>
        <v>Product</v>
      </c>
      <c r="F133" s="4" t="str">
        <f>VLOOKUP($A133,'Institution Evaluation'!$A$56:$K$346,3,0)&amp;""</f>
        <v>No</v>
      </c>
      <c r="G133" s="4" t="str">
        <f>VLOOKUP($A133,'Institution Evaluation'!$A$56:$K$346,7,0)&amp;""</f>
        <v>Yes</v>
      </c>
      <c r="H133" s="4" t="str">
        <f>VLOOKUP($A133,'Institution Evaluation'!$A$56:$K$346,8,0)&amp;""</f>
        <v/>
      </c>
      <c r="I133" s="4" t="str">
        <f>VLOOKUP($A133,'Institution Evaluation'!$A$56:$K$346,9,0)&amp;""</f>
        <v>Minor Importance</v>
      </c>
      <c r="J133" s="4" t="str">
        <f>VLOOKUP($A133,'Institution Evaluation'!$A$56:$K$346,10,0)&amp;""</f>
        <v/>
      </c>
      <c r="K133" s="4">
        <f t="shared" si="31"/>
        <v>5</v>
      </c>
      <c r="L133" s="108">
        <f>IF($E133="Not Scored", "N/A",IF(AND($D133='Auto Responses'!$J$27,$H133=""),"N/A",IF(AND($D133='Auto Responses'!$J$27,$H133='Auto Responses'!$J$7),1,IF(AND($D133='Auto Responses'!$J$27,$H133='Auto Responses'!$J$8),0,IF(OR($F133=$G133,$H133='Auto Responses'!$J$7),1,0)))))</f>
        <v>0</v>
      </c>
      <c r="M133" s="4" t="str">
        <f>VLOOKUP($A133,'Institution Evaluation'!$A$56:$K$346,10,0)&amp;""</f>
        <v/>
      </c>
      <c r="N133" s="4">
        <f t="shared" si="32"/>
        <v>0</v>
      </c>
      <c r="O133" s="108">
        <f t="shared" si="33"/>
        <v>5</v>
      </c>
      <c r="P133" s="108">
        <f t="shared" si="34"/>
        <v>0</v>
      </c>
      <c r="Q133" s="108">
        <f t="shared" si="26"/>
        <v>0</v>
      </c>
      <c r="R133" s="108">
        <f t="shared" ref="R133:R196" si="35">R132+Q133</f>
        <v>0</v>
      </c>
      <c r="S133" s="108">
        <f t="shared" si="27"/>
        <v>0</v>
      </c>
      <c r="T133" s="108">
        <f t="shared" si="28"/>
        <v>0</v>
      </c>
      <c r="U133" s="108">
        <f t="shared" ref="U133:U196" si="36">U132+T133</f>
        <v>43</v>
      </c>
      <c r="V133" s="108">
        <f t="shared" si="29"/>
        <v>0</v>
      </c>
    </row>
    <row r="134" spans="1:22" ht="71.25" x14ac:dyDescent="0.2">
      <c r="A134" s="4" t="str">
        <f>Questions!$A134</f>
        <v>DATA-23</v>
      </c>
      <c r="B134" s="4" t="str">
        <f t="shared" si="30"/>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Evaluation'!$A$56:$K$346,3,0)&amp;""</f>
        <v>No</v>
      </c>
      <c r="G134" s="4" t="str">
        <f>VLOOKUP($A134,'Institution Evaluation'!$A$56:$K$346,7,0)&amp;""</f>
        <v>Yes</v>
      </c>
      <c r="H134" s="4" t="str">
        <f>VLOOKUP($A134,'Institution Evaluation'!$A$56:$K$346,8,0)&amp;""</f>
        <v/>
      </c>
      <c r="I134" s="4" t="str">
        <f>VLOOKUP($A134,'Institution Evaluation'!$A$56:$K$346,9,0)&amp;""</f>
        <v>Minor Importance</v>
      </c>
      <c r="J134" s="4" t="str">
        <f>VLOOKUP($A134,'Institution Evaluation'!$A$56:$K$346,10,0)&amp;""</f>
        <v/>
      </c>
      <c r="K134" s="4">
        <f t="shared" si="31"/>
        <v>5</v>
      </c>
      <c r="L134" s="108">
        <f>IF($E134="Not Scored", "N/A",IF(AND($D134='Auto Responses'!$J$27,$H134=""),"N/A",IF(AND($D134='Auto Responses'!$J$27,$H134='Auto Responses'!$J$7),1,IF(AND($D134='Auto Responses'!$J$27,$H134='Auto Responses'!$J$8),0,IF(OR($F134=$G134,$H134='Auto Responses'!$J$7),1,0)))))</f>
        <v>0</v>
      </c>
      <c r="M134" s="4" t="str">
        <f>VLOOKUP($A134,'Institution Evaluation'!$A$56:$K$346,10,0)&amp;""</f>
        <v/>
      </c>
      <c r="N134" s="4">
        <f t="shared" si="32"/>
        <v>0</v>
      </c>
      <c r="O134" s="108">
        <f t="shared" si="33"/>
        <v>5</v>
      </c>
      <c r="P134" s="108">
        <f t="shared" si="34"/>
        <v>0</v>
      </c>
      <c r="Q134" s="108">
        <f t="shared" si="26"/>
        <v>0</v>
      </c>
      <c r="R134" s="108">
        <f t="shared" si="35"/>
        <v>0</v>
      </c>
      <c r="S134" s="108">
        <f t="shared" si="27"/>
        <v>0</v>
      </c>
      <c r="T134" s="108">
        <f t="shared" si="28"/>
        <v>0</v>
      </c>
      <c r="U134" s="108">
        <f t="shared" si="36"/>
        <v>43</v>
      </c>
      <c r="V134" s="108">
        <f t="shared" si="29"/>
        <v>0</v>
      </c>
    </row>
    <row r="135" spans="1:22" ht="57" x14ac:dyDescent="0.2">
      <c r="A135" s="4" t="str">
        <f>Questions!$A135</f>
        <v>DCTR-01</v>
      </c>
      <c r="B135" s="4" t="str">
        <f t="shared" si="30"/>
        <v>DCTR</v>
      </c>
      <c r="C135" s="4" t="str">
        <f>VLOOKUP($A135,Questions!$A$3:$L$333,2,0)&amp;""</f>
        <v>Select your hosting option.</v>
      </c>
      <c r="D135" s="4" t="str">
        <f>VLOOKUP($A135,Questions!$A$3:$L$333,11,0)&amp;""</f>
        <v/>
      </c>
      <c r="E135" s="4" t="str">
        <f>VLOOKUP($A135,Questions!$A$3:$L$333,12,0)&amp;""</f>
        <v>Not scored</v>
      </c>
      <c r="F135" s="4" t="str">
        <f>VLOOKUP($A135,'Institution Evaluation'!$A$56:$K$346,3,0)&amp;""</f>
        <v>AWS</v>
      </c>
      <c r="G135" s="4" t="str">
        <f>VLOOKUP($A135,'Institution Evaluation'!$A$56:$K$346,7,0)&amp;""</f>
        <v>Not scored</v>
      </c>
      <c r="H135" s="4" t="str">
        <f>VLOOKUP($A135,'Institution Evaluation'!$A$56:$K$346,8,0)&amp;""</f>
        <v/>
      </c>
      <c r="I135" s="4" t="str">
        <f>VLOOKUP($A135,'Institution Evaluation'!$A$56:$K$346,9,0)&amp;""</f>
        <v/>
      </c>
      <c r="J135" s="4" t="str">
        <f>VLOOKUP($A135,'Institution Evaluation'!$A$56:$K$346,10,0)&amp;""</f>
        <v/>
      </c>
      <c r="K135" s="4">
        <f t="shared" si="31"/>
        <v>10</v>
      </c>
      <c r="L135" s="108" t="str">
        <f>IF(OR($E135="Not Scored",$F135=""),"N/A",IF(AND($D135='Auto Responses'!$J$27,$H135=""),"N/A",IF(AND($D135='Auto Responses'!$J$27,$H135='Auto Responses'!$J$7),1,IF(AND($D135='Auto Responses'!$J$27,$H135='Auto Responses'!$J$8),0,IF(OR($F135=$G135,$H135='Auto Responses'!$J$7),1,0)))))</f>
        <v>N/A</v>
      </c>
      <c r="M135" s="4" t="str">
        <f>VLOOKUP($A135,'Institution Evaluation'!$A$56:$K$346,10,0)&amp;""</f>
        <v/>
      </c>
      <c r="N135" s="4">
        <f t="shared" si="32"/>
        <v>0</v>
      </c>
      <c r="O135" s="108" t="str">
        <f>IF(OR($F$17="No",$E135="Not Scored",$F135=""),"N/A",IF($J135="",$K135,IF($J135="Minor Importance",5,IF($J135="Standard Importance",10,IF($J135="Critical Importance",20,0)))))</f>
        <v>N/A</v>
      </c>
      <c r="P135" s="108" t="str">
        <f t="shared" si="34"/>
        <v>N/A</v>
      </c>
      <c r="Q135" s="108">
        <f t="shared" si="26"/>
        <v>0</v>
      </c>
      <c r="R135" s="108">
        <f t="shared" si="35"/>
        <v>0</v>
      </c>
      <c r="S135" s="108">
        <f t="shared" si="27"/>
        <v>0</v>
      </c>
      <c r="T135" s="108">
        <f t="shared" si="28"/>
        <v>0</v>
      </c>
      <c r="U135" s="108">
        <f t="shared" si="36"/>
        <v>43</v>
      </c>
      <c r="V135" s="108">
        <f t="shared" si="29"/>
        <v>0</v>
      </c>
    </row>
    <row r="136" spans="1:22" ht="57" x14ac:dyDescent="0.2">
      <c r="A136" s="4" t="str">
        <f>Questions!$A136</f>
        <v>DCTR-02</v>
      </c>
      <c r="B136" s="4" t="str">
        <f t="shared" si="30"/>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Evaluation'!$A$56:$K$346,3,0)&amp;""</f>
        <v>Yes</v>
      </c>
      <c r="G136" s="4" t="str">
        <f>VLOOKUP($A136,'Institution Evaluation'!$A$56:$K$346,7,0)&amp;""</f>
        <v>Yes</v>
      </c>
      <c r="H136" s="4" t="str">
        <f>VLOOKUP($A136,'Institution Evaluation'!$A$56:$K$346,8,0)&amp;""</f>
        <v/>
      </c>
      <c r="I136" s="4" t="str">
        <f>VLOOKUP($A136,'Institution Evaluation'!$A$56:$K$346,9,0)&amp;""</f>
        <v>Standard Importance</v>
      </c>
      <c r="J136" s="4" t="str">
        <f>VLOOKUP($A136,'Institution Evaluation'!$A$56:$K$346,10,0)&amp;""</f>
        <v/>
      </c>
      <c r="K136" s="4">
        <f t="shared" si="31"/>
        <v>10</v>
      </c>
      <c r="L136" s="108">
        <f>IF(OR($E136="Not Scored",$F136=""),"N/A",IF(AND($D136='Auto Responses'!$J$27,$H136=""),"N/A",IF(AND($D136='Auto Responses'!$J$27,$H136='Auto Responses'!$J$7),1,IF(AND($D136='Auto Responses'!$J$27,$H136='Auto Responses'!$J$8),0,IF(OR($F136=$G136,$H136='Auto Responses'!$J$7),1,0)))))</f>
        <v>1</v>
      </c>
      <c r="M136" s="4" t="str">
        <f>VLOOKUP($A136,'Institution Evaluation'!$A$56:$K$346,10,0)&amp;""</f>
        <v/>
      </c>
      <c r="N136" s="4">
        <f t="shared" si="32"/>
        <v>0</v>
      </c>
      <c r="O136" s="108">
        <f t="shared" ref="O136:O150" si="37">IF(OR($F$17="No",$E136="Not Scored",$F136=""),"N/A",IF($J136="",$K136,IF($J136="Minor Importance",5,IF($J136="Standard Importance",10,IF($J136="Critical Importance",20,0)))))</f>
        <v>10</v>
      </c>
      <c r="P136" s="108">
        <f t="shared" si="34"/>
        <v>10</v>
      </c>
      <c r="Q136" s="108">
        <f t="shared" si="26"/>
        <v>0</v>
      </c>
      <c r="R136" s="108">
        <f t="shared" si="35"/>
        <v>0</v>
      </c>
      <c r="S136" s="108">
        <f t="shared" si="27"/>
        <v>0</v>
      </c>
      <c r="T136" s="108">
        <f t="shared" si="28"/>
        <v>0</v>
      </c>
      <c r="U136" s="108">
        <f t="shared" si="36"/>
        <v>43</v>
      </c>
      <c r="V136" s="108">
        <f t="shared" si="29"/>
        <v>0</v>
      </c>
    </row>
    <row r="137" spans="1:22" ht="57" x14ac:dyDescent="0.2">
      <c r="A137" s="4" t="str">
        <f>Questions!$A137</f>
        <v>DCTR-03</v>
      </c>
      <c r="B137" s="4" t="str">
        <f t="shared" si="30"/>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Evaluation'!$A$56:$K$346,3,0)&amp;""</f>
        <v>No</v>
      </c>
      <c r="G137" s="4" t="str">
        <f>VLOOKUP($A137,'Institution Evaluation'!$A$56:$K$346,7,0)&amp;""</f>
        <v>Yes</v>
      </c>
      <c r="H137" s="4" t="str">
        <f>VLOOKUP($A137,'Institution Evaluation'!$A$56:$K$346,8,0)&amp;""</f>
        <v/>
      </c>
      <c r="I137" s="4" t="str">
        <f>VLOOKUP($A137,'Institution Evaluation'!$A$56:$K$346,9,0)&amp;""</f>
        <v>Standard Importance</v>
      </c>
      <c r="J137" s="4" t="str">
        <f>VLOOKUP($A137,'Institution Evaluation'!$A$56:$K$346,10,0)&amp;""</f>
        <v/>
      </c>
      <c r="K137" s="4">
        <f t="shared" si="31"/>
        <v>10</v>
      </c>
      <c r="L137" s="108">
        <f>IF(OR($E137="Not Scored",$F137=""),"N/A",IF(AND($D137='Auto Responses'!$J$27,$H137=""),"N/A",IF(AND($D137='Auto Responses'!$J$27,$H137='Auto Responses'!$J$7),1,IF(AND($D137='Auto Responses'!$J$27,$H137='Auto Responses'!$J$8),0,IF(OR($F137=$G137,$H137='Auto Responses'!$J$7),1,0)))))</f>
        <v>0</v>
      </c>
      <c r="M137" s="4" t="str">
        <f>VLOOKUP($A137,'Institution Evaluation'!$A$56:$K$346,10,0)&amp;""</f>
        <v/>
      </c>
      <c r="N137" s="4">
        <f t="shared" si="32"/>
        <v>0</v>
      </c>
      <c r="O137" s="108">
        <f t="shared" si="37"/>
        <v>10</v>
      </c>
      <c r="P137" s="108">
        <f t="shared" si="34"/>
        <v>0</v>
      </c>
      <c r="Q137" s="108">
        <f t="shared" si="26"/>
        <v>0</v>
      </c>
      <c r="R137" s="108">
        <f t="shared" si="35"/>
        <v>0</v>
      </c>
      <c r="S137" s="108">
        <f t="shared" si="27"/>
        <v>0</v>
      </c>
      <c r="T137" s="108">
        <f t="shared" si="28"/>
        <v>0</v>
      </c>
      <c r="U137" s="108">
        <f t="shared" si="36"/>
        <v>43</v>
      </c>
      <c r="V137" s="108">
        <f t="shared" si="29"/>
        <v>0</v>
      </c>
    </row>
    <row r="138" spans="1:22" ht="57" x14ac:dyDescent="0.2">
      <c r="A138" s="4" t="str">
        <f>Questions!$A138</f>
        <v>DCTR-04</v>
      </c>
      <c r="B138" s="4" t="str">
        <f t="shared" si="30"/>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Evaluation'!$A$56:$K$346,3,0)&amp;""</f>
        <v>Yes</v>
      </c>
      <c r="G138" s="4" t="str">
        <f>VLOOKUP($A138,'Institution Evaluation'!$A$56:$K$346,7,0)&amp;""</f>
        <v>Yes</v>
      </c>
      <c r="H138" s="4" t="str">
        <f>VLOOKUP($A138,'Institution Evaluation'!$A$56:$K$346,8,0)&amp;""</f>
        <v/>
      </c>
      <c r="I138" s="4" t="str">
        <f>VLOOKUP($A138,'Institution Evaluation'!$A$56:$K$346,9,0)&amp;""</f>
        <v>Standard Importance</v>
      </c>
      <c r="J138" s="4" t="str">
        <f>VLOOKUP($A138,'Institution Evaluation'!$A$56:$K$346,10,0)&amp;""</f>
        <v/>
      </c>
      <c r="K138" s="4">
        <f t="shared" si="31"/>
        <v>10</v>
      </c>
      <c r="L138" s="108">
        <f>IF(OR($E138="Not Scored",$F138=""),"N/A",IF(AND($D138='Auto Responses'!$J$27,$H138=""),"N/A",IF(AND($D138='Auto Responses'!$J$27,$H138='Auto Responses'!$J$7),1,IF(AND($D138='Auto Responses'!$J$27,$H138='Auto Responses'!$J$8),0,IF(OR($F138=$G138,$H138='Auto Responses'!$J$7),1,0)))))</f>
        <v>1</v>
      </c>
      <c r="M138" s="4" t="str">
        <f>VLOOKUP($A138,'Institution Evaluation'!$A$56:$K$346,10,0)&amp;""</f>
        <v/>
      </c>
      <c r="N138" s="4">
        <f t="shared" si="32"/>
        <v>0</v>
      </c>
      <c r="O138" s="108">
        <f t="shared" si="37"/>
        <v>10</v>
      </c>
      <c r="P138" s="108">
        <f t="shared" si="34"/>
        <v>10</v>
      </c>
      <c r="Q138" s="108">
        <f t="shared" si="26"/>
        <v>0</v>
      </c>
      <c r="R138" s="108">
        <f t="shared" si="35"/>
        <v>0</v>
      </c>
      <c r="S138" s="108">
        <f t="shared" si="27"/>
        <v>0</v>
      </c>
      <c r="T138" s="108">
        <f t="shared" si="28"/>
        <v>0</v>
      </c>
      <c r="U138" s="108">
        <f t="shared" si="36"/>
        <v>43</v>
      </c>
      <c r="V138" s="108">
        <f t="shared" si="29"/>
        <v>0</v>
      </c>
    </row>
    <row r="139" spans="1:22" ht="57" x14ac:dyDescent="0.2">
      <c r="A139" s="4" t="str">
        <f>Questions!$A139</f>
        <v>DCTR-05</v>
      </c>
      <c r="B139" s="4" t="str">
        <f t="shared" si="30"/>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Evaluation'!$A$56:$K$346,3,0)&amp;""</f>
        <v>Yes</v>
      </c>
      <c r="G139" s="4" t="str">
        <f>VLOOKUP($A139,'Institution Evaluation'!$A$56:$K$346,7,0)&amp;""</f>
        <v>Yes</v>
      </c>
      <c r="H139" s="4" t="str">
        <f>VLOOKUP($A139,'Institution Evaluation'!$A$56:$K$346,8,0)&amp;""</f>
        <v/>
      </c>
      <c r="I139" s="4" t="str">
        <f>VLOOKUP($A139,'Institution Evaluation'!$A$56:$K$346,9,0)&amp;""</f>
        <v>Standard Importance</v>
      </c>
      <c r="J139" s="4" t="str">
        <f>VLOOKUP($A139,'Institution Evaluation'!$A$56:$K$346,10,0)&amp;""</f>
        <v/>
      </c>
      <c r="K139" s="4">
        <f t="shared" si="31"/>
        <v>10</v>
      </c>
      <c r="L139" s="108">
        <f>IF(OR($E139="Not Scored",$F139=""),"N/A",IF(AND($D139='Auto Responses'!$J$27,$H139=""),"N/A",IF(AND($D139='Auto Responses'!$J$27,$H139='Auto Responses'!$J$7),1,IF(AND($D139='Auto Responses'!$J$27,$H139='Auto Responses'!$J$8),0,IF(OR($F139=$G139,$H139='Auto Responses'!$J$7),1,0)))))</f>
        <v>1</v>
      </c>
      <c r="M139" s="4" t="str">
        <f>VLOOKUP($A139,'Institution Evaluation'!$A$56:$K$346,10,0)&amp;""</f>
        <v/>
      </c>
      <c r="N139" s="4">
        <f t="shared" si="32"/>
        <v>0</v>
      </c>
      <c r="O139" s="108">
        <f t="shared" si="37"/>
        <v>10</v>
      </c>
      <c r="P139" s="108">
        <f t="shared" si="34"/>
        <v>10</v>
      </c>
      <c r="Q139" s="108">
        <f t="shared" si="26"/>
        <v>0</v>
      </c>
      <c r="R139" s="108">
        <f t="shared" si="35"/>
        <v>0</v>
      </c>
      <c r="S139" s="108">
        <f t="shared" si="27"/>
        <v>0</v>
      </c>
      <c r="T139" s="108">
        <f t="shared" si="28"/>
        <v>0</v>
      </c>
      <c r="U139" s="108">
        <f t="shared" si="36"/>
        <v>43</v>
      </c>
      <c r="V139" s="108">
        <f t="shared" si="29"/>
        <v>0</v>
      </c>
    </row>
    <row r="140" spans="1:22" ht="57" x14ac:dyDescent="0.2">
      <c r="A140" s="4" t="str">
        <f>Questions!$A140</f>
        <v>DCTR-06</v>
      </c>
      <c r="B140" s="4" t="str">
        <f t="shared" si="30"/>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Evaluation'!$A$56:$K$346,3,0)&amp;""</f>
        <v>Yes</v>
      </c>
      <c r="G140" s="4" t="str">
        <f>VLOOKUP($A140,'Institution Evaluation'!$A$56:$K$346,7,0)&amp;""</f>
        <v>Yes</v>
      </c>
      <c r="H140" s="4" t="str">
        <f>VLOOKUP($A140,'Institution Evaluation'!$A$56:$K$346,8,0)&amp;""</f>
        <v/>
      </c>
      <c r="I140" s="4" t="str">
        <f>VLOOKUP($A140,'Institution Evaluation'!$A$56:$K$346,9,0)&amp;""</f>
        <v>Critical Importance</v>
      </c>
      <c r="J140" s="4" t="str">
        <f>VLOOKUP($A140,'Institution Evaluation'!$A$56:$K$346,10,0)&amp;""</f>
        <v/>
      </c>
      <c r="K140" s="4">
        <f t="shared" si="31"/>
        <v>20</v>
      </c>
      <c r="L140" s="108">
        <f>IF(OR($E140="Not Scored",$F140=""),"N/A",IF(AND($D140='Auto Responses'!$J$27,$H140=""),"N/A",IF(AND($D140='Auto Responses'!$J$27,$H140='Auto Responses'!$J$7),1,IF(AND($D140='Auto Responses'!$J$27,$H140='Auto Responses'!$J$8),0,IF(OR($F140=$G140,$H140='Auto Responses'!$J$7),1,0)))))</f>
        <v>1</v>
      </c>
      <c r="M140" s="4" t="str">
        <f>VLOOKUP($A140,'Institution Evaluation'!$A$56:$K$346,10,0)&amp;""</f>
        <v/>
      </c>
      <c r="N140" s="4">
        <f t="shared" si="32"/>
        <v>1</v>
      </c>
      <c r="O140" s="108">
        <f t="shared" si="37"/>
        <v>20</v>
      </c>
      <c r="P140" s="108">
        <f t="shared" si="34"/>
        <v>20</v>
      </c>
      <c r="Q140" s="108">
        <f t="shared" si="26"/>
        <v>0</v>
      </c>
      <c r="R140" s="108">
        <f t="shared" si="35"/>
        <v>0</v>
      </c>
      <c r="S140" s="108">
        <f t="shared" si="27"/>
        <v>0</v>
      </c>
      <c r="T140" s="108">
        <f t="shared" si="28"/>
        <v>1</v>
      </c>
      <c r="U140" s="108">
        <f t="shared" si="36"/>
        <v>44</v>
      </c>
      <c r="V140" s="108">
        <f t="shared" si="29"/>
        <v>44</v>
      </c>
    </row>
    <row r="141" spans="1:22" ht="57" x14ac:dyDescent="0.2">
      <c r="A141" s="4" t="str">
        <f>Questions!$A141</f>
        <v>DCTR-07</v>
      </c>
      <c r="B141" s="4" t="str">
        <f t="shared" si="30"/>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Evaluation'!$A$56:$K$346,3,0)&amp;""</f>
        <v>Yes</v>
      </c>
      <c r="G141" s="4" t="str">
        <f>VLOOKUP($A141,'Institution Evaluation'!$A$56:$K$346,7,0)&amp;""</f>
        <v>Yes</v>
      </c>
      <c r="H141" s="4" t="str">
        <f>VLOOKUP($A141,'Institution Evaluation'!$A$56:$K$346,8,0)&amp;""</f>
        <v/>
      </c>
      <c r="I141" s="4" t="str">
        <f>VLOOKUP($A141,'Institution Evaluation'!$A$56:$K$346,9,0)&amp;""</f>
        <v>Standard Importance</v>
      </c>
      <c r="J141" s="4" t="str">
        <f>VLOOKUP($A141,'Institution Evaluation'!$A$56:$K$346,10,0)&amp;""</f>
        <v/>
      </c>
      <c r="K141" s="4">
        <f t="shared" si="31"/>
        <v>10</v>
      </c>
      <c r="L141" s="108">
        <f>IF(OR($E141="Not Scored",$F141=""),"N/A",IF(AND($D141='Auto Responses'!$J$27,$H141=""),"N/A",IF(AND($D141='Auto Responses'!$J$27,$H141='Auto Responses'!$J$7),1,IF(AND($D141='Auto Responses'!$J$27,$H141='Auto Responses'!$J$8),0,IF(OR($F141=$G141,$H141='Auto Responses'!$J$7),1,0)))))</f>
        <v>1</v>
      </c>
      <c r="M141" s="4" t="str">
        <f>VLOOKUP($A141,'Institution Evaluation'!$A$56:$K$346,10,0)&amp;""</f>
        <v/>
      </c>
      <c r="N141" s="4">
        <f t="shared" si="32"/>
        <v>0</v>
      </c>
      <c r="O141" s="108">
        <f t="shared" si="37"/>
        <v>10</v>
      </c>
      <c r="P141" s="108">
        <f t="shared" si="34"/>
        <v>10</v>
      </c>
      <c r="Q141" s="108">
        <f t="shared" si="26"/>
        <v>0</v>
      </c>
      <c r="R141" s="108">
        <f t="shared" si="35"/>
        <v>0</v>
      </c>
      <c r="S141" s="108">
        <f t="shared" si="27"/>
        <v>0</v>
      </c>
      <c r="T141" s="108">
        <f t="shared" si="28"/>
        <v>0</v>
      </c>
      <c r="U141" s="108">
        <f t="shared" si="36"/>
        <v>44</v>
      </c>
      <c r="V141" s="108">
        <f t="shared" si="29"/>
        <v>0</v>
      </c>
    </row>
    <row r="142" spans="1:22" ht="57" x14ac:dyDescent="0.2">
      <c r="A142" s="4" t="str">
        <f>Questions!$A142</f>
        <v>DCTR-08</v>
      </c>
      <c r="B142" s="4" t="str">
        <f t="shared" si="30"/>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Evaluation'!$A$56:$K$346,3,0)&amp;""</f>
        <v>Yes</v>
      </c>
      <c r="G142" s="4" t="str">
        <f>VLOOKUP($A142,'Institution Evaluation'!$A$56:$K$346,7,0)&amp;""</f>
        <v>Yes</v>
      </c>
      <c r="H142" s="4" t="str">
        <f>VLOOKUP($A142,'Institution Evaluation'!$A$56:$K$346,8,0)&amp;""</f>
        <v/>
      </c>
      <c r="I142" s="4" t="str">
        <f>VLOOKUP($A142,'Institution Evaluation'!$A$56:$K$346,9,0)&amp;""</f>
        <v>Standard Importance</v>
      </c>
      <c r="J142" s="4" t="str">
        <f>VLOOKUP($A142,'Institution Evaluation'!$A$56:$K$346,10,0)&amp;""</f>
        <v/>
      </c>
      <c r="K142" s="4">
        <f t="shared" si="31"/>
        <v>10</v>
      </c>
      <c r="L142" s="108">
        <f>IF(OR($E142="Not Scored",$F142=""),"N/A",IF(AND($D142='Auto Responses'!$J$27,$H142=""),"N/A",IF(AND($D142='Auto Responses'!$J$27,$H142='Auto Responses'!$J$7),1,IF(AND($D142='Auto Responses'!$J$27,$H142='Auto Responses'!$J$8),0,IF(OR($F142=$G142,$H142='Auto Responses'!$J$7),1,0)))))</f>
        <v>1</v>
      </c>
      <c r="M142" s="4" t="str">
        <f>VLOOKUP($A142,'Institution Evaluation'!$A$56:$K$346,10,0)&amp;""</f>
        <v/>
      </c>
      <c r="N142" s="4">
        <f t="shared" si="32"/>
        <v>0</v>
      </c>
      <c r="O142" s="108">
        <f t="shared" si="37"/>
        <v>10</v>
      </c>
      <c r="P142" s="108">
        <f t="shared" si="34"/>
        <v>10</v>
      </c>
      <c r="Q142" s="108">
        <f t="shared" si="26"/>
        <v>0</v>
      </c>
      <c r="R142" s="108">
        <f t="shared" si="35"/>
        <v>0</v>
      </c>
      <c r="S142" s="108">
        <f t="shared" si="27"/>
        <v>0</v>
      </c>
      <c r="T142" s="108">
        <f t="shared" si="28"/>
        <v>0</v>
      </c>
      <c r="U142" s="108">
        <f t="shared" si="36"/>
        <v>44</v>
      </c>
      <c r="V142" s="108">
        <f t="shared" si="29"/>
        <v>0</v>
      </c>
    </row>
    <row r="143" spans="1:22" ht="57" x14ac:dyDescent="0.2">
      <c r="A143" s="4" t="str">
        <f>Questions!$A143</f>
        <v>DCTR-09</v>
      </c>
      <c r="B143" s="4" t="str">
        <f t="shared" si="30"/>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Evaluation'!$A$56:$K$346,3,0)&amp;""</f>
        <v>Yes</v>
      </c>
      <c r="G143" s="4" t="str">
        <f>VLOOKUP($A143,'Institution Evaluation'!$A$56:$K$346,7,0)&amp;""</f>
        <v>Yes</v>
      </c>
      <c r="H143" s="4" t="str">
        <f>VLOOKUP($A143,'Institution Evaluation'!$A$56:$K$346,8,0)&amp;""</f>
        <v/>
      </c>
      <c r="I143" s="4" t="str">
        <f>VLOOKUP($A143,'Institution Evaluation'!$A$56:$K$346,9,0)&amp;""</f>
        <v>Standard Importance</v>
      </c>
      <c r="J143" s="4" t="str">
        <f>VLOOKUP($A143,'Institution Evaluation'!$A$56:$K$346,10,0)&amp;""</f>
        <v/>
      </c>
      <c r="K143" s="4">
        <f t="shared" si="31"/>
        <v>10</v>
      </c>
      <c r="L143" s="108">
        <f>IF(OR($E143="Not Scored",$F143=""),"N/A",IF(AND($D143='Auto Responses'!$J$27,$H143=""),"N/A",IF(AND($D143='Auto Responses'!$J$27,$H143='Auto Responses'!$J$7),1,IF(AND($D143='Auto Responses'!$J$27,$H143='Auto Responses'!$J$8),0,IF(OR($F143=$G143,$H143='Auto Responses'!$J$7),1,0)))))</f>
        <v>1</v>
      </c>
      <c r="M143" s="4" t="str">
        <f>VLOOKUP($A143,'Institution Evaluation'!$A$56:$K$346,10,0)&amp;""</f>
        <v/>
      </c>
      <c r="N143" s="4">
        <f t="shared" si="32"/>
        <v>0</v>
      </c>
      <c r="O143" s="108">
        <f t="shared" si="37"/>
        <v>10</v>
      </c>
      <c r="P143" s="108">
        <f t="shared" si="34"/>
        <v>10</v>
      </c>
      <c r="Q143" s="108">
        <f t="shared" si="26"/>
        <v>0</v>
      </c>
      <c r="R143" s="108">
        <f t="shared" si="35"/>
        <v>0</v>
      </c>
      <c r="S143" s="108">
        <f t="shared" si="27"/>
        <v>0</v>
      </c>
      <c r="T143" s="108">
        <f t="shared" si="28"/>
        <v>0</v>
      </c>
      <c r="U143" s="108">
        <f t="shared" si="36"/>
        <v>44</v>
      </c>
      <c r="V143" s="108">
        <f t="shared" si="29"/>
        <v>0</v>
      </c>
    </row>
    <row r="144" spans="1:22" ht="57" x14ac:dyDescent="0.2">
      <c r="A144" s="4" t="str">
        <f>Questions!$A144</f>
        <v>DCTR-10</v>
      </c>
      <c r="B144" s="4" t="str">
        <f t="shared" si="30"/>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Evaluation'!$A$56:$K$346,3,0)&amp;""</f>
        <v>Yes</v>
      </c>
      <c r="G144" s="4" t="str">
        <f>VLOOKUP($A144,'Institution Evaluation'!$A$56:$K$346,7,0)&amp;""</f>
        <v>Yes</v>
      </c>
      <c r="H144" s="4" t="str">
        <f>VLOOKUP($A144,'Institution Evaluation'!$A$56:$K$346,8,0)&amp;""</f>
        <v/>
      </c>
      <c r="I144" s="4" t="str">
        <f>VLOOKUP($A144,'Institution Evaluation'!$A$56:$K$346,9,0)&amp;""</f>
        <v>Critical Importance</v>
      </c>
      <c r="J144" s="4" t="str">
        <f>VLOOKUP($A144,'Institution Evaluation'!$A$56:$K$346,10,0)&amp;""</f>
        <v/>
      </c>
      <c r="K144" s="4">
        <f t="shared" si="31"/>
        <v>20</v>
      </c>
      <c r="L144" s="108">
        <f>IF(OR($E144="Not Scored",$F144=""),"N/A",IF(AND($D144='Auto Responses'!$J$27,$H144=""),"N/A",IF(AND($D144='Auto Responses'!$J$27,$H144='Auto Responses'!$J$7),1,IF(AND($D144='Auto Responses'!$J$27,$H144='Auto Responses'!$J$8),0,IF(OR($F144=$G144,$H144='Auto Responses'!$J$7),1,0)))))</f>
        <v>1</v>
      </c>
      <c r="M144" s="4" t="str">
        <f>VLOOKUP($A144,'Institution Evaluation'!$A$56:$K$346,10,0)&amp;""</f>
        <v/>
      </c>
      <c r="N144" s="4">
        <f t="shared" si="32"/>
        <v>1</v>
      </c>
      <c r="O144" s="108">
        <f t="shared" si="37"/>
        <v>20</v>
      </c>
      <c r="P144" s="108">
        <f t="shared" si="34"/>
        <v>20</v>
      </c>
      <c r="Q144" s="108">
        <f t="shared" si="26"/>
        <v>0</v>
      </c>
      <c r="R144" s="108">
        <f t="shared" si="35"/>
        <v>0</v>
      </c>
      <c r="S144" s="108">
        <f t="shared" si="27"/>
        <v>0</v>
      </c>
      <c r="T144" s="108">
        <f t="shared" si="28"/>
        <v>1</v>
      </c>
      <c r="U144" s="108">
        <f t="shared" si="36"/>
        <v>45</v>
      </c>
      <c r="V144" s="108">
        <f t="shared" si="29"/>
        <v>45</v>
      </c>
    </row>
    <row r="145" spans="1:22" ht="57" x14ac:dyDescent="0.2">
      <c r="A145" s="4" t="str">
        <f>Questions!$A145</f>
        <v>DCTR-11</v>
      </c>
      <c r="B145" s="4" t="str">
        <f t="shared" si="30"/>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Evaluation'!$A$56:$K$346,3,0)&amp;""</f>
        <v>Yes</v>
      </c>
      <c r="G145" s="4" t="str">
        <f>VLOOKUP($A145,'Institution Evaluation'!$A$56:$K$346,7,0)&amp;""</f>
        <v>Yes</v>
      </c>
      <c r="H145" s="4" t="str">
        <f>VLOOKUP($A145,'Institution Evaluation'!$A$56:$K$346,8,0)&amp;""</f>
        <v/>
      </c>
      <c r="I145" s="4" t="str">
        <f>VLOOKUP($A145,'Institution Evaluation'!$A$56:$K$346,9,0)&amp;""</f>
        <v>Standard Importance</v>
      </c>
      <c r="J145" s="4" t="str">
        <f>VLOOKUP($A145,'Institution Evaluation'!$A$56:$K$346,10,0)&amp;""</f>
        <v/>
      </c>
      <c r="K145" s="4">
        <f t="shared" si="31"/>
        <v>10</v>
      </c>
      <c r="L145" s="108">
        <f>IF(OR($E145="Not Scored",$F145=""),"N/A",IF(AND($D145='Auto Responses'!$J$27,$H145=""),"N/A",IF(AND($D145='Auto Responses'!$J$27,$H145='Auto Responses'!$J$7),1,IF(AND($D145='Auto Responses'!$J$27,$H145='Auto Responses'!$J$8),0,IF(OR($F145=$G145,$H145='Auto Responses'!$J$7),1,0)))))</f>
        <v>1</v>
      </c>
      <c r="M145" s="4" t="str">
        <f>VLOOKUP($A145,'Institution Evaluation'!$A$56:$K$346,10,0)&amp;""</f>
        <v/>
      </c>
      <c r="N145" s="4">
        <f t="shared" si="32"/>
        <v>0</v>
      </c>
      <c r="O145" s="108">
        <f t="shared" si="37"/>
        <v>10</v>
      </c>
      <c r="P145" s="108">
        <f t="shared" si="34"/>
        <v>10</v>
      </c>
      <c r="Q145" s="108">
        <f t="shared" si="26"/>
        <v>0</v>
      </c>
      <c r="R145" s="108">
        <f t="shared" si="35"/>
        <v>0</v>
      </c>
      <c r="S145" s="108">
        <f t="shared" si="27"/>
        <v>0</v>
      </c>
      <c r="T145" s="108">
        <f t="shared" si="28"/>
        <v>0</v>
      </c>
      <c r="U145" s="108">
        <f t="shared" si="36"/>
        <v>45</v>
      </c>
      <c r="V145" s="108">
        <f t="shared" si="29"/>
        <v>0</v>
      </c>
    </row>
    <row r="146" spans="1:22" ht="57" x14ac:dyDescent="0.2">
      <c r="A146" s="4" t="str">
        <f>Questions!$A146</f>
        <v>DCTR-12</v>
      </c>
      <c r="B146" s="4" t="str">
        <f t="shared" si="30"/>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Evaluation'!$A$56:$K$346,3,0)&amp;""</f>
        <v>Yes</v>
      </c>
      <c r="G146" s="4" t="str">
        <f>VLOOKUP($A146,'Institution Evaluation'!$A$56:$K$346,7,0)&amp;""</f>
        <v>Yes</v>
      </c>
      <c r="H146" s="4" t="str">
        <f>VLOOKUP($A146,'Institution Evaluation'!$A$56:$K$346,8,0)&amp;""</f>
        <v/>
      </c>
      <c r="I146" s="4" t="str">
        <f>VLOOKUP($A146,'Institution Evaluation'!$A$56:$K$346,9,0)&amp;""</f>
        <v>Standard Importance</v>
      </c>
      <c r="J146" s="4" t="str">
        <f>VLOOKUP($A146,'Institution Evaluation'!$A$56:$K$346,10,0)&amp;""</f>
        <v/>
      </c>
      <c r="K146" s="4">
        <f t="shared" si="31"/>
        <v>10</v>
      </c>
      <c r="L146" s="108">
        <f>IF(OR($E146="Not Scored",$F146=""),"N/A",IF(AND($D146='Auto Responses'!$J$27,$H146=""),"N/A",IF(AND($D146='Auto Responses'!$J$27,$H146='Auto Responses'!$J$7),1,IF(AND($D146='Auto Responses'!$J$27,$H146='Auto Responses'!$J$8),0,IF(OR($F146=$G146,$H146='Auto Responses'!$J$7),1,0)))))</f>
        <v>1</v>
      </c>
      <c r="M146" s="4" t="str">
        <f>VLOOKUP($A146,'Institution Evaluation'!$A$56:$K$346,10,0)&amp;""</f>
        <v/>
      </c>
      <c r="N146" s="4">
        <f t="shared" si="32"/>
        <v>0</v>
      </c>
      <c r="O146" s="108">
        <f t="shared" si="37"/>
        <v>10</v>
      </c>
      <c r="P146" s="108">
        <f t="shared" si="34"/>
        <v>10</v>
      </c>
      <c r="Q146" s="108">
        <f t="shared" si="26"/>
        <v>0</v>
      </c>
      <c r="R146" s="108">
        <f t="shared" si="35"/>
        <v>0</v>
      </c>
      <c r="S146" s="108">
        <f t="shared" si="27"/>
        <v>0</v>
      </c>
      <c r="T146" s="108">
        <f t="shared" si="28"/>
        <v>0</v>
      </c>
      <c r="U146" s="108">
        <f t="shared" si="36"/>
        <v>45</v>
      </c>
      <c r="V146" s="108">
        <f t="shared" si="29"/>
        <v>0</v>
      </c>
    </row>
    <row r="147" spans="1:22" ht="57" x14ac:dyDescent="0.2">
      <c r="A147" s="4" t="str">
        <f>Questions!$A147</f>
        <v>DCTR-13</v>
      </c>
      <c r="B147" s="4" t="str">
        <f t="shared" si="30"/>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Evaluation'!$A$56:$K$346,3,0)&amp;""</f>
        <v>Yes</v>
      </c>
      <c r="G147" s="4" t="str">
        <f>VLOOKUP($A147,'Institution Evaluation'!$A$56:$K$346,7,0)&amp;""</f>
        <v>Yes</v>
      </c>
      <c r="H147" s="4" t="str">
        <f>VLOOKUP($A147,'Institution Evaluation'!$A$56:$K$346,8,0)&amp;""</f>
        <v/>
      </c>
      <c r="I147" s="4" t="str">
        <f>VLOOKUP($A147,'Institution Evaluation'!$A$56:$K$346,9,0)&amp;""</f>
        <v>Standard Importance</v>
      </c>
      <c r="J147" s="4" t="str">
        <f>VLOOKUP($A147,'Institution Evaluation'!$A$56:$K$346,10,0)&amp;""</f>
        <v/>
      </c>
      <c r="K147" s="4">
        <f t="shared" si="31"/>
        <v>10</v>
      </c>
      <c r="L147" s="108">
        <f>IF(OR($E147="Not Scored",$F147=""),"N/A",IF(AND($D147='Auto Responses'!$J$27,$H147=""),"N/A",IF(AND($D147='Auto Responses'!$J$27,$H147='Auto Responses'!$J$7),1,IF(AND($D147='Auto Responses'!$J$27,$H147='Auto Responses'!$J$8),0,IF(OR($F147=$G147,$H147='Auto Responses'!$J$7),1,0)))))</f>
        <v>1</v>
      </c>
      <c r="M147" s="4" t="str">
        <f>VLOOKUP($A147,'Institution Evaluation'!$A$56:$K$346,10,0)&amp;""</f>
        <v/>
      </c>
      <c r="N147" s="4">
        <f t="shared" si="32"/>
        <v>0</v>
      </c>
      <c r="O147" s="108">
        <f t="shared" si="37"/>
        <v>10</v>
      </c>
      <c r="P147" s="108">
        <f t="shared" si="34"/>
        <v>10</v>
      </c>
      <c r="Q147" s="108">
        <f t="shared" si="26"/>
        <v>0</v>
      </c>
      <c r="R147" s="108">
        <f t="shared" si="35"/>
        <v>0</v>
      </c>
      <c r="S147" s="108">
        <f t="shared" si="27"/>
        <v>0</v>
      </c>
      <c r="T147" s="108">
        <f t="shared" si="28"/>
        <v>0</v>
      </c>
      <c r="U147" s="108">
        <f t="shared" si="36"/>
        <v>45</v>
      </c>
      <c r="V147" s="108">
        <f t="shared" si="29"/>
        <v>0</v>
      </c>
    </row>
    <row r="148" spans="1:22" ht="57" x14ac:dyDescent="0.2">
      <c r="A148" s="4" t="str">
        <f>Questions!$A148</f>
        <v>DCTR-14</v>
      </c>
      <c r="B148" s="4" t="str">
        <f t="shared" si="30"/>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Evaluation'!$A$56:$K$346,3,0)&amp;""</f>
        <v>Yes</v>
      </c>
      <c r="G148" s="4" t="str">
        <f>VLOOKUP($A148,'Institution Evaluation'!$A$56:$K$346,7,0)&amp;""</f>
        <v>Yes</v>
      </c>
      <c r="H148" s="4" t="str">
        <f>VLOOKUP($A148,'Institution Evaluation'!$A$56:$K$346,8,0)&amp;""</f>
        <v/>
      </c>
      <c r="I148" s="4" t="str">
        <f>VLOOKUP($A148,'Institution Evaluation'!$A$56:$K$346,9,0)&amp;""</f>
        <v>Standard Importance</v>
      </c>
      <c r="J148" s="4" t="str">
        <f>VLOOKUP($A148,'Institution Evaluation'!$A$56:$K$346,10,0)&amp;""</f>
        <v/>
      </c>
      <c r="K148" s="4">
        <f t="shared" si="31"/>
        <v>10</v>
      </c>
      <c r="L148" s="108">
        <f>IF(OR($E148="Not Scored",$F148=""),"N/A",IF(AND($D148='Auto Responses'!$J$27,$H148=""),"N/A",IF(AND($D148='Auto Responses'!$J$27,$H148='Auto Responses'!$J$7),1,IF(AND($D148='Auto Responses'!$J$27,$H148='Auto Responses'!$J$8),0,IF(OR($F148=$G148,$H148='Auto Responses'!$J$7),1,0)))))</f>
        <v>1</v>
      </c>
      <c r="M148" s="4" t="str">
        <f>VLOOKUP($A148,'Institution Evaluation'!$A$56:$K$346,10,0)&amp;""</f>
        <v/>
      </c>
      <c r="N148" s="4">
        <f t="shared" si="32"/>
        <v>0</v>
      </c>
      <c r="O148" s="108">
        <f t="shared" si="37"/>
        <v>10</v>
      </c>
      <c r="P148" s="108">
        <f t="shared" si="34"/>
        <v>10</v>
      </c>
      <c r="Q148" s="108">
        <f t="shared" si="26"/>
        <v>0</v>
      </c>
      <c r="R148" s="108">
        <f t="shared" si="35"/>
        <v>0</v>
      </c>
      <c r="S148" s="108">
        <f t="shared" si="27"/>
        <v>0</v>
      </c>
      <c r="T148" s="108">
        <f t="shared" si="28"/>
        <v>0</v>
      </c>
      <c r="U148" s="108">
        <f t="shared" si="36"/>
        <v>45</v>
      </c>
      <c r="V148" s="108">
        <f t="shared" si="29"/>
        <v>0</v>
      </c>
    </row>
    <row r="149" spans="1:22" ht="57" x14ac:dyDescent="0.2">
      <c r="A149" s="4" t="str">
        <f>Questions!$A149</f>
        <v>DCTR-15</v>
      </c>
      <c r="B149" s="4" t="str">
        <f t="shared" si="30"/>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Evaluation'!$A$56:$K$346,3,0)&amp;""</f>
        <v>No</v>
      </c>
      <c r="G149" s="4" t="str">
        <f>VLOOKUP($A149,'Institution Evaluation'!$A$56:$K$346,7,0)&amp;""</f>
        <v>Yes</v>
      </c>
      <c r="H149" s="4" t="str">
        <f>VLOOKUP($A149,'Institution Evaluation'!$A$56:$K$346,8,0)&amp;""</f>
        <v/>
      </c>
      <c r="I149" s="4" t="str">
        <f>VLOOKUP($A149,'Institution Evaluation'!$A$56:$K$346,9,0)&amp;""</f>
        <v>Standard Importance</v>
      </c>
      <c r="J149" s="4" t="str">
        <f>VLOOKUP($A149,'Institution Evaluation'!$A$56:$K$346,10,0)&amp;""</f>
        <v/>
      </c>
      <c r="K149" s="4">
        <f t="shared" si="31"/>
        <v>10</v>
      </c>
      <c r="L149" s="108">
        <f>IF(OR($E149="Not Scored",$F149=""),"N/A",IF(AND($D149='Auto Responses'!$J$27,$H149=""),"N/A",IF(AND($D149='Auto Responses'!$J$27,$H149='Auto Responses'!$J$7),1,IF(AND($D149='Auto Responses'!$J$27,$H149='Auto Responses'!$J$8),0,IF(OR($F149=$G149,$H149='Auto Responses'!$J$7),1,0)))))</f>
        <v>0</v>
      </c>
      <c r="M149" s="4" t="str">
        <f>VLOOKUP($A149,'Institution Evaluation'!$A$56:$K$346,10,0)&amp;""</f>
        <v/>
      </c>
      <c r="N149" s="4">
        <f t="shared" si="32"/>
        <v>0</v>
      </c>
      <c r="O149" s="108">
        <f t="shared" si="37"/>
        <v>10</v>
      </c>
      <c r="P149" s="108">
        <f t="shared" si="34"/>
        <v>0</v>
      </c>
      <c r="Q149" s="108">
        <f t="shared" si="26"/>
        <v>0</v>
      </c>
      <c r="R149" s="108">
        <f t="shared" si="35"/>
        <v>0</v>
      </c>
      <c r="S149" s="108">
        <f t="shared" si="27"/>
        <v>0</v>
      </c>
      <c r="T149" s="108">
        <f t="shared" si="28"/>
        <v>0</v>
      </c>
      <c r="U149" s="108">
        <f t="shared" si="36"/>
        <v>45</v>
      </c>
      <c r="V149" s="108">
        <f t="shared" si="29"/>
        <v>0</v>
      </c>
    </row>
    <row r="150" spans="1:22" ht="57" x14ac:dyDescent="0.2">
      <c r="A150" s="4" t="str">
        <f>Questions!$A150</f>
        <v>DCTR-16</v>
      </c>
      <c r="B150" s="4" t="str">
        <f t="shared" si="30"/>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Evaluation'!$A$56:$K$346,3,0)&amp;""</f>
        <v>No</v>
      </c>
      <c r="G150" s="4" t="str">
        <f>VLOOKUP($A150,'Institution Evaluation'!$A$56:$K$346,7,0)&amp;""</f>
        <v>No</v>
      </c>
      <c r="H150" s="4" t="str">
        <f>VLOOKUP($A150,'Institution Evaluation'!$A$56:$K$346,8,0)&amp;""</f>
        <v/>
      </c>
      <c r="I150" s="4" t="str">
        <f>VLOOKUP($A150,'Institution Evaluation'!$A$56:$K$346,9,0)&amp;""</f>
        <v>Standard Importance</v>
      </c>
      <c r="J150" s="4" t="str">
        <f>VLOOKUP($A150,'Institution Evaluation'!$A$56:$K$346,10,0)&amp;""</f>
        <v/>
      </c>
      <c r="K150" s="4">
        <f t="shared" si="31"/>
        <v>10</v>
      </c>
      <c r="L150" s="108">
        <f>IF(OR($E150="Not Scored",$F150=""),"N/A",IF(AND($D150='Auto Responses'!$J$27,$H150=""),"N/A",IF(AND($D150='Auto Responses'!$J$27,$H150='Auto Responses'!$J$7),1,IF(AND($D150='Auto Responses'!$J$27,$H150='Auto Responses'!$J$8),0,IF(OR($F150=$G150,$H150='Auto Responses'!$J$7),1,0)))))</f>
        <v>1</v>
      </c>
      <c r="M150" s="4" t="str">
        <f>VLOOKUP($A150,'Institution Evaluation'!$A$56:$K$346,10,0)&amp;""</f>
        <v/>
      </c>
      <c r="N150" s="4">
        <f t="shared" si="32"/>
        <v>0</v>
      </c>
      <c r="O150" s="108">
        <f t="shared" si="37"/>
        <v>10</v>
      </c>
      <c r="P150" s="108">
        <f t="shared" si="34"/>
        <v>10</v>
      </c>
      <c r="Q150" s="108">
        <f t="shared" si="26"/>
        <v>0</v>
      </c>
      <c r="R150" s="108">
        <f t="shared" si="35"/>
        <v>0</v>
      </c>
      <c r="S150" s="108">
        <f t="shared" si="27"/>
        <v>0</v>
      </c>
      <c r="T150" s="108">
        <f t="shared" si="28"/>
        <v>0</v>
      </c>
      <c r="U150" s="108">
        <f t="shared" si="36"/>
        <v>45</v>
      </c>
      <c r="V150" s="108">
        <f t="shared" si="29"/>
        <v>0</v>
      </c>
    </row>
    <row r="151" spans="1:22" ht="57" x14ac:dyDescent="0.2">
      <c r="A151" s="4" t="str">
        <f>Questions!$A151</f>
        <v>FIDP-01</v>
      </c>
      <c r="B151" s="4" t="str">
        <f t="shared" si="30"/>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Evaluation'!$A$56:$K$346,3,0)&amp;""</f>
        <v>Yes</v>
      </c>
      <c r="G151" s="4" t="str">
        <f>VLOOKUP($A151,'Institution Evaluation'!$A$56:$K$346,7,0)&amp;""</f>
        <v>Yes</v>
      </c>
      <c r="H151" s="4" t="str">
        <f>VLOOKUP($A151,'Institution Evaluation'!$A$56:$K$346,8,0)&amp;""</f>
        <v/>
      </c>
      <c r="I151" s="4" t="str">
        <f>VLOOKUP($A151,'Institution Evaluation'!$A$56:$K$346,9,0)&amp;""</f>
        <v>Critical Importance</v>
      </c>
      <c r="J151" s="4" t="str">
        <f>VLOOKUP($A151,'Institution Evaluation'!$A$56:$K$346,10,0)&amp;""</f>
        <v/>
      </c>
      <c r="K151" s="4">
        <f t="shared" si="31"/>
        <v>20</v>
      </c>
      <c r="L151" s="108">
        <f>IF($E151="Not Scored", "N/A",IF(AND($D151='Auto Responses'!$J$27,$H151=""),"N/A",IF(AND($D151='Auto Responses'!$J$27,$H151='Auto Responses'!$J$7),1,IF(AND($D151='Auto Responses'!$J$27,$H151='Auto Responses'!$J$8),0,IF(OR($F151=$G151,$H151='Auto Responses'!$J$7),1,0)))))</f>
        <v>1</v>
      </c>
      <c r="M151" s="4" t="str">
        <f>VLOOKUP($A151,'Institution Evaluation'!$A$56:$K$346,10,0)&amp;""</f>
        <v/>
      </c>
      <c r="N151" s="4">
        <f t="shared" si="32"/>
        <v>1</v>
      </c>
      <c r="O151" s="108">
        <f>IF(OR($F$17="No",$E151="Not Scored"),"N/A",IF($J151="",$K151,IF($J151="Minor Importance",5,IF($J151="Standard Importance",10,IF($J151="Critical Importance",20,0)))))</f>
        <v>20</v>
      </c>
      <c r="P151" s="108">
        <f t="shared" si="34"/>
        <v>20</v>
      </c>
      <c r="Q151" s="108">
        <f t="shared" si="26"/>
        <v>0</v>
      </c>
      <c r="R151" s="108">
        <f t="shared" si="35"/>
        <v>0</v>
      </c>
      <c r="S151" s="108">
        <f t="shared" si="27"/>
        <v>0</v>
      </c>
      <c r="T151" s="108">
        <f t="shared" si="28"/>
        <v>1</v>
      </c>
      <c r="U151" s="108">
        <f t="shared" si="36"/>
        <v>46</v>
      </c>
      <c r="V151" s="108">
        <f t="shared" si="29"/>
        <v>46</v>
      </c>
    </row>
    <row r="152" spans="1:22" ht="57" x14ac:dyDescent="0.2">
      <c r="A152" s="4" t="str">
        <f>Questions!$A152</f>
        <v>FIDP-02</v>
      </c>
      <c r="B152" s="4" t="str">
        <f t="shared" si="30"/>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Evaluation'!$A$56:$K$346,3,0)&amp;""</f>
        <v>Yes</v>
      </c>
      <c r="G152" s="4" t="str">
        <f>VLOOKUP($A152,'Institution Evaluation'!$A$56:$K$346,7,0)&amp;""</f>
        <v>Yes</v>
      </c>
      <c r="H152" s="4" t="str">
        <f>VLOOKUP($A152,'Institution Evaluation'!$A$56:$K$346,8,0)&amp;""</f>
        <v/>
      </c>
      <c r="I152" s="4" t="str">
        <f>VLOOKUP($A152,'Institution Evaluation'!$A$56:$K$346,9,0)&amp;""</f>
        <v>Critical Importance</v>
      </c>
      <c r="J152" s="4" t="str">
        <f>VLOOKUP($A152,'Institution Evaluation'!$A$56:$K$346,10,0)&amp;""</f>
        <v/>
      </c>
      <c r="K152" s="4">
        <f t="shared" si="31"/>
        <v>20</v>
      </c>
      <c r="L152" s="108">
        <f>IF($E152="Not Scored", "N/A",IF(AND($D152='Auto Responses'!$J$27,$H152=""),"N/A",IF(AND($D152='Auto Responses'!$J$27,$H152='Auto Responses'!$J$7),1,IF(AND($D152='Auto Responses'!$J$27,$H152='Auto Responses'!$J$8),0,IF(OR($F152=$G152,$H152='Auto Responses'!$J$7),1,0)))))</f>
        <v>1</v>
      </c>
      <c r="M152" s="4" t="str">
        <f>VLOOKUP($A152,'Institution Evaluation'!$A$56:$K$346,10,0)&amp;""</f>
        <v/>
      </c>
      <c r="N152" s="4">
        <f t="shared" si="32"/>
        <v>1</v>
      </c>
      <c r="O152" s="108">
        <f t="shared" ref="O152:O161" si="38">IF(OR($F$17="No",$E152="Not Scored"),"N/A",IF($J152="",$K152,IF($J152="Minor Importance",5,IF($J152="Standard Importance",10,IF($J152="Critical Importance",20,0)))))</f>
        <v>20</v>
      </c>
      <c r="P152" s="108">
        <f t="shared" si="34"/>
        <v>20</v>
      </c>
      <c r="Q152" s="108">
        <f t="shared" si="26"/>
        <v>0</v>
      </c>
      <c r="R152" s="108">
        <f t="shared" si="35"/>
        <v>0</v>
      </c>
      <c r="S152" s="108">
        <f t="shared" si="27"/>
        <v>0</v>
      </c>
      <c r="T152" s="108">
        <f t="shared" si="28"/>
        <v>1</v>
      </c>
      <c r="U152" s="108">
        <f t="shared" si="36"/>
        <v>47</v>
      </c>
      <c r="V152" s="108">
        <f t="shared" si="29"/>
        <v>47</v>
      </c>
    </row>
    <row r="153" spans="1:22" ht="57" x14ac:dyDescent="0.2">
      <c r="A153" s="4" t="str">
        <f>Questions!$A153</f>
        <v>FIDP-03</v>
      </c>
      <c r="B153" s="4" t="str">
        <f t="shared" si="30"/>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Evaluation'!$A$56:$K$346,3,0)&amp;""</f>
        <v>Yes</v>
      </c>
      <c r="G153" s="4" t="str">
        <f>VLOOKUP($A153,'Institution Evaluation'!$A$56:$K$346,7,0)&amp;""</f>
        <v>Yes</v>
      </c>
      <c r="H153" s="4" t="str">
        <f>VLOOKUP($A153,'Institution Evaluation'!$A$56:$K$346,8,0)&amp;""</f>
        <v/>
      </c>
      <c r="I153" s="4" t="str">
        <f>VLOOKUP($A153,'Institution Evaluation'!$A$56:$K$346,9,0)&amp;""</f>
        <v>Critical Importance</v>
      </c>
      <c r="J153" s="4" t="str">
        <f>VLOOKUP($A153,'Institution Evaluation'!$A$56:$K$346,10,0)&amp;""</f>
        <v/>
      </c>
      <c r="K153" s="4">
        <f t="shared" si="31"/>
        <v>20</v>
      </c>
      <c r="L153" s="108">
        <f>IF($E153="Not Scored", "N/A",IF(AND($D153='Auto Responses'!$J$27,$H153=""),"N/A",IF(AND($D153='Auto Responses'!$J$27,$H153='Auto Responses'!$J$7),1,IF(AND($D153='Auto Responses'!$J$27,$H153='Auto Responses'!$J$8),0,IF(OR($F153=$G153,$H153='Auto Responses'!$J$7),1,0)))))</f>
        <v>1</v>
      </c>
      <c r="M153" s="4" t="str">
        <f>VLOOKUP($A153,'Institution Evaluation'!$A$56:$K$346,10,0)&amp;""</f>
        <v/>
      </c>
      <c r="N153" s="4">
        <f t="shared" si="32"/>
        <v>1</v>
      </c>
      <c r="O153" s="108">
        <f t="shared" si="38"/>
        <v>20</v>
      </c>
      <c r="P153" s="108">
        <f t="shared" si="34"/>
        <v>20</v>
      </c>
      <c r="Q153" s="108">
        <f t="shared" si="26"/>
        <v>0</v>
      </c>
      <c r="R153" s="108">
        <f t="shared" si="35"/>
        <v>0</v>
      </c>
      <c r="S153" s="108">
        <f t="shared" si="27"/>
        <v>0</v>
      </c>
      <c r="T153" s="108">
        <f t="shared" si="28"/>
        <v>1</v>
      </c>
      <c r="U153" s="108">
        <f t="shared" si="36"/>
        <v>48</v>
      </c>
      <c r="V153" s="108">
        <f t="shared" si="29"/>
        <v>48</v>
      </c>
    </row>
    <row r="154" spans="1:22" ht="57" x14ac:dyDescent="0.2">
      <c r="A154" s="4" t="str">
        <f>Questions!$A154</f>
        <v>FIDP-04</v>
      </c>
      <c r="B154" s="4" t="str">
        <f t="shared" si="30"/>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Evaluation'!$A$56:$K$346,3,0)&amp;""</f>
        <v>Yes</v>
      </c>
      <c r="G154" s="4" t="str">
        <f>VLOOKUP($A154,'Institution Evaluation'!$A$56:$K$346,7,0)&amp;""</f>
        <v>Yes</v>
      </c>
      <c r="H154" s="4" t="str">
        <f>VLOOKUP($A154,'Institution Evaluation'!$A$56:$K$346,8,0)&amp;""</f>
        <v/>
      </c>
      <c r="I154" s="4" t="str">
        <f>VLOOKUP($A154,'Institution Evaluation'!$A$56:$K$346,9,0)&amp;""</f>
        <v>Critical Importance</v>
      </c>
      <c r="J154" s="4" t="str">
        <f>VLOOKUP($A154,'Institution Evaluation'!$A$56:$K$346,10,0)&amp;""</f>
        <v/>
      </c>
      <c r="K154" s="4">
        <f t="shared" si="31"/>
        <v>20</v>
      </c>
      <c r="L154" s="108">
        <f>IF($E154="Not Scored", "N/A",IF(AND($D154='Auto Responses'!$J$27,$H154=""),"N/A",IF(AND($D154='Auto Responses'!$J$27,$H154='Auto Responses'!$J$7),1,IF(AND($D154='Auto Responses'!$J$27,$H154='Auto Responses'!$J$8),0,IF(OR($F154=$G154,$H154='Auto Responses'!$J$7),1,0)))))</f>
        <v>1</v>
      </c>
      <c r="M154" s="4" t="str">
        <f>VLOOKUP($A154,'Institution Evaluation'!$A$56:$K$346,10,0)&amp;""</f>
        <v/>
      </c>
      <c r="N154" s="4">
        <f t="shared" si="32"/>
        <v>1</v>
      </c>
      <c r="O154" s="108">
        <f>IF(OR($F$17="No",$E154="Not Scored",$F154="N/A"),"N/A",IF($J154="",$K154,IF($J154="Minor Importance",5,IF($J154="Standard Importance",10,IF($J154="Critical Importance",20,0)))))</f>
        <v>20</v>
      </c>
      <c r="P154" s="108">
        <f t="shared" si="34"/>
        <v>20</v>
      </c>
      <c r="Q154" s="108">
        <f t="shared" si="26"/>
        <v>0</v>
      </c>
      <c r="R154" s="108">
        <f t="shared" si="35"/>
        <v>0</v>
      </c>
      <c r="S154" s="108">
        <f t="shared" si="27"/>
        <v>0</v>
      </c>
      <c r="T154" s="108">
        <f t="shared" si="28"/>
        <v>1</v>
      </c>
      <c r="U154" s="108">
        <f t="shared" si="36"/>
        <v>49</v>
      </c>
      <c r="V154" s="108">
        <f t="shared" si="29"/>
        <v>49</v>
      </c>
    </row>
    <row r="155" spans="1:22" ht="57" x14ac:dyDescent="0.2">
      <c r="A155" s="4" t="str">
        <f>Questions!$A155</f>
        <v>FIDP-05</v>
      </c>
      <c r="B155" s="4" t="str">
        <f t="shared" si="30"/>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Evaluation'!$A$56:$K$346,3,0)&amp;""</f>
        <v>Yes</v>
      </c>
      <c r="G155" s="4" t="str">
        <f>VLOOKUP($A155,'Institution Evaluation'!$A$56:$K$346,7,0)&amp;""</f>
        <v>Yes</v>
      </c>
      <c r="H155" s="4" t="str">
        <f>VLOOKUP($A155,'Institution Evaluation'!$A$56:$K$346,8,0)&amp;""</f>
        <v/>
      </c>
      <c r="I155" s="4" t="str">
        <f>VLOOKUP($A155,'Institution Evaluation'!$A$56:$K$346,9,0)&amp;""</f>
        <v>Critical Importance</v>
      </c>
      <c r="J155" s="4" t="str">
        <f>VLOOKUP($A155,'Institution Evaluation'!$A$56:$K$346,10,0)&amp;""</f>
        <v/>
      </c>
      <c r="K155" s="4">
        <f t="shared" si="31"/>
        <v>20</v>
      </c>
      <c r="L155" s="108">
        <f>IF($E155="Not Scored", "N/A",IF(AND($D155='Auto Responses'!$J$27,$H155=""),"N/A",IF(AND($D155='Auto Responses'!$J$27,$H155='Auto Responses'!$J$7),1,IF(AND($D155='Auto Responses'!$J$27,$H155='Auto Responses'!$J$8),0,IF(OR($F155=$G155,$H155='Auto Responses'!$J$7),1,0)))))</f>
        <v>1</v>
      </c>
      <c r="M155" s="4" t="str">
        <f>VLOOKUP($A155,'Institution Evaluation'!$A$56:$K$346,10,0)&amp;""</f>
        <v/>
      </c>
      <c r="N155" s="4">
        <f t="shared" si="32"/>
        <v>1</v>
      </c>
      <c r="O155" s="108">
        <f t="shared" si="38"/>
        <v>20</v>
      </c>
      <c r="P155" s="108">
        <f t="shared" si="34"/>
        <v>20</v>
      </c>
      <c r="Q155" s="108">
        <f t="shared" si="26"/>
        <v>0</v>
      </c>
      <c r="R155" s="108">
        <f t="shared" si="35"/>
        <v>0</v>
      </c>
      <c r="S155" s="108">
        <f t="shared" si="27"/>
        <v>0</v>
      </c>
      <c r="T155" s="108">
        <f t="shared" si="28"/>
        <v>1</v>
      </c>
      <c r="U155" s="108">
        <f t="shared" si="36"/>
        <v>50</v>
      </c>
      <c r="V155" s="108">
        <f t="shared" si="29"/>
        <v>50</v>
      </c>
    </row>
    <row r="156" spans="1:22" ht="57" x14ac:dyDescent="0.2">
      <c r="A156" s="4" t="str">
        <f>Questions!$A156</f>
        <v>FIDP-06</v>
      </c>
      <c r="B156" s="4" t="str">
        <f t="shared" si="30"/>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Evaluation'!$A$56:$K$346,3,0)&amp;""</f>
        <v>Yes</v>
      </c>
      <c r="G156" s="4" t="str">
        <f>VLOOKUP($A156,'Institution Evaluation'!$A$56:$K$346,7,0)&amp;""</f>
        <v>Yes</v>
      </c>
      <c r="H156" s="4" t="str">
        <f>VLOOKUP($A156,'Institution Evaluation'!$A$56:$K$346,8,0)&amp;""</f>
        <v/>
      </c>
      <c r="I156" s="4" t="str">
        <f>VLOOKUP($A156,'Institution Evaluation'!$A$56:$K$346,9,0)&amp;""</f>
        <v>Standard Importance</v>
      </c>
      <c r="J156" s="4" t="str">
        <f>VLOOKUP($A156,'Institution Evaluation'!$A$56:$K$346,10,0)&amp;""</f>
        <v/>
      </c>
      <c r="K156" s="4">
        <f t="shared" si="31"/>
        <v>10</v>
      </c>
      <c r="L156" s="108">
        <f>IF($E156="Not Scored", "N/A",IF(AND($D156='Auto Responses'!$J$27,$H156=""),"N/A",IF(AND($D156='Auto Responses'!$J$27,$H156='Auto Responses'!$J$7),1,IF(AND($D156='Auto Responses'!$J$27,$H156='Auto Responses'!$J$8),0,IF(OR($F156=$G156,$H156='Auto Responses'!$J$7),1,0)))))</f>
        <v>1</v>
      </c>
      <c r="M156" s="4" t="str">
        <f>VLOOKUP($A156,'Institution Evaluation'!$A$56:$K$346,10,0)&amp;""</f>
        <v/>
      </c>
      <c r="N156" s="4">
        <f t="shared" si="32"/>
        <v>0</v>
      </c>
      <c r="O156" s="108">
        <f t="shared" si="38"/>
        <v>10</v>
      </c>
      <c r="P156" s="108">
        <f t="shared" si="34"/>
        <v>10</v>
      </c>
      <c r="Q156" s="108">
        <f t="shared" si="26"/>
        <v>0</v>
      </c>
      <c r="R156" s="108">
        <f t="shared" si="35"/>
        <v>0</v>
      </c>
      <c r="S156" s="108">
        <f t="shared" si="27"/>
        <v>0</v>
      </c>
      <c r="T156" s="108">
        <f t="shared" si="28"/>
        <v>0</v>
      </c>
      <c r="U156" s="108">
        <f t="shared" si="36"/>
        <v>50</v>
      </c>
      <c r="V156" s="108">
        <f t="shared" si="29"/>
        <v>0</v>
      </c>
    </row>
    <row r="157" spans="1:22" ht="57" x14ac:dyDescent="0.2">
      <c r="A157" s="4" t="str">
        <f>Questions!$A157</f>
        <v>FIDP-07</v>
      </c>
      <c r="B157" s="4" t="str">
        <f t="shared" si="30"/>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Evaluation'!$A$56:$K$346,3,0)&amp;""</f>
        <v>Yes</v>
      </c>
      <c r="G157" s="4" t="str">
        <f>VLOOKUP($A157,'Institution Evaluation'!$A$56:$K$346,7,0)&amp;""</f>
        <v>Yes</v>
      </c>
      <c r="H157" s="4" t="str">
        <f>VLOOKUP($A157,'Institution Evaluation'!$A$56:$K$346,8,0)&amp;""</f>
        <v/>
      </c>
      <c r="I157" s="4" t="str">
        <f>VLOOKUP($A157,'Institution Evaluation'!$A$56:$K$346,9,0)&amp;""</f>
        <v>Standard Importance</v>
      </c>
      <c r="J157" s="4" t="str">
        <f>VLOOKUP($A157,'Institution Evaluation'!$A$56:$K$346,10,0)&amp;""</f>
        <v/>
      </c>
      <c r="K157" s="4">
        <f t="shared" si="31"/>
        <v>10</v>
      </c>
      <c r="L157" s="108">
        <f>IF($E157="Not Scored", "N/A",IF(AND($D157='Auto Responses'!$J$27,$H157=""),"N/A",IF(AND($D157='Auto Responses'!$J$27,$H157='Auto Responses'!$J$7),1,IF(AND($D157='Auto Responses'!$J$27,$H157='Auto Responses'!$J$8),0,IF(OR($F157=$G157,$H157='Auto Responses'!$J$7),1,0)))))</f>
        <v>1</v>
      </c>
      <c r="M157" s="4" t="str">
        <f>VLOOKUP($A157,'Institution Evaluation'!$A$56:$K$346,10,0)&amp;""</f>
        <v/>
      </c>
      <c r="N157" s="4">
        <f t="shared" si="32"/>
        <v>0</v>
      </c>
      <c r="O157" s="108">
        <f t="shared" si="38"/>
        <v>10</v>
      </c>
      <c r="P157" s="108">
        <f t="shared" si="34"/>
        <v>10</v>
      </c>
      <c r="Q157" s="108">
        <f t="shared" si="26"/>
        <v>0</v>
      </c>
      <c r="R157" s="108">
        <f t="shared" si="35"/>
        <v>0</v>
      </c>
      <c r="S157" s="108">
        <f t="shared" si="27"/>
        <v>0</v>
      </c>
      <c r="T157" s="108">
        <f t="shared" si="28"/>
        <v>0</v>
      </c>
      <c r="U157" s="108">
        <f t="shared" si="36"/>
        <v>50</v>
      </c>
      <c r="V157" s="108">
        <f t="shared" si="29"/>
        <v>0</v>
      </c>
    </row>
    <row r="158" spans="1:22" ht="57" x14ac:dyDescent="0.2">
      <c r="A158" s="4" t="str">
        <f>Questions!$A158</f>
        <v>FIDP-08</v>
      </c>
      <c r="B158" s="4" t="str">
        <f t="shared" si="30"/>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Evaluation'!$A$56:$K$346,3,0)&amp;""</f>
        <v>Yes</v>
      </c>
      <c r="G158" s="4" t="str">
        <f>VLOOKUP($A158,'Institution Evaluation'!$A$56:$K$346,7,0)&amp;""</f>
        <v>Yes</v>
      </c>
      <c r="H158" s="4" t="str">
        <f>VLOOKUP($A158,'Institution Evaluation'!$A$56:$K$346,8,0)&amp;""</f>
        <v/>
      </c>
      <c r="I158" s="4" t="str">
        <f>VLOOKUP($A158,'Institution Evaluation'!$A$56:$K$346,9,0)&amp;""</f>
        <v>Standard Importance</v>
      </c>
      <c r="J158" s="4" t="str">
        <f>VLOOKUP($A158,'Institution Evaluation'!$A$56:$K$346,10,0)&amp;""</f>
        <v/>
      </c>
      <c r="K158" s="4">
        <f t="shared" si="31"/>
        <v>10</v>
      </c>
      <c r="L158" s="108">
        <f>IF($E158="Not Scored", "N/A",IF(AND($D158='Auto Responses'!$J$27,$H158=""),"N/A",IF(AND($D158='Auto Responses'!$J$27,$H158='Auto Responses'!$J$7),1,IF(AND($D158='Auto Responses'!$J$27,$H158='Auto Responses'!$J$8),0,IF(OR($F158=$G158,$H158='Auto Responses'!$J$7),1,0)))))</f>
        <v>1</v>
      </c>
      <c r="M158" s="4" t="str">
        <f>VLOOKUP($A158,'Institution Evaluation'!$A$56:$K$346,10,0)&amp;""</f>
        <v/>
      </c>
      <c r="N158" s="4">
        <f t="shared" si="32"/>
        <v>0</v>
      </c>
      <c r="O158" s="108">
        <f>IF(OR($F$17="No",$E158="Not Scored",$F158="N/A"),"N/A",IF($J158="",$K158,IF($J158="Minor Importance",5,IF($J158="Standard Importance",10,IF($J158="Critical Importance",20,0)))))</f>
        <v>10</v>
      </c>
      <c r="P158" s="108">
        <f t="shared" si="34"/>
        <v>10</v>
      </c>
      <c r="Q158" s="108">
        <f t="shared" si="26"/>
        <v>0</v>
      </c>
      <c r="R158" s="108">
        <f t="shared" si="35"/>
        <v>0</v>
      </c>
      <c r="S158" s="108">
        <f t="shared" si="27"/>
        <v>0</v>
      </c>
      <c r="T158" s="108">
        <f t="shared" si="28"/>
        <v>0</v>
      </c>
      <c r="U158" s="108">
        <f t="shared" si="36"/>
        <v>50</v>
      </c>
      <c r="V158" s="108">
        <f t="shared" si="29"/>
        <v>0</v>
      </c>
    </row>
    <row r="159" spans="1:22" ht="57" x14ac:dyDescent="0.2">
      <c r="A159" s="4" t="str">
        <f>Questions!$A159</f>
        <v>FIDP-09</v>
      </c>
      <c r="B159" s="4" t="str">
        <f t="shared" si="30"/>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Evaluation'!$A$56:$K$346,3,0)&amp;""</f>
        <v>Yes</v>
      </c>
      <c r="G159" s="4" t="str">
        <f>VLOOKUP($A159,'Institution Evaluation'!$A$56:$K$346,7,0)&amp;""</f>
        <v>Yes</v>
      </c>
      <c r="H159" s="4" t="str">
        <f>VLOOKUP($A159,'Institution Evaluation'!$A$56:$K$346,8,0)&amp;""</f>
        <v/>
      </c>
      <c r="I159" s="4" t="str">
        <f>VLOOKUP($A159,'Institution Evaluation'!$A$56:$K$346,9,0)&amp;""</f>
        <v>Standard Importance</v>
      </c>
      <c r="J159" s="4" t="str">
        <f>VLOOKUP($A159,'Institution Evaluation'!$A$56:$K$346,10,0)&amp;""</f>
        <v/>
      </c>
      <c r="K159" s="4">
        <f t="shared" si="31"/>
        <v>10</v>
      </c>
      <c r="L159" s="108">
        <f>IF($E159="Not Scored", "N/A",IF(AND($D159='Auto Responses'!$J$27,$H159=""),"N/A",IF(AND($D159='Auto Responses'!$J$27,$H159='Auto Responses'!$J$7),1,IF(AND($D159='Auto Responses'!$J$27,$H159='Auto Responses'!$J$8),0,IF(OR($F159=$G159,$H159='Auto Responses'!$J$7),1,0)))))</f>
        <v>1</v>
      </c>
      <c r="M159" s="4" t="str">
        <f>VLOOKUP($A159,'Institution Evaluation'!$A$56:$K$346,10,0)&amp;""</f>
        <v/>
      </c>
      <c r="N159" s="4">
        <f t="shared" si="32"/>
        <v>0</v>
      </c>
      <c r="O159" s="108">
        <f t="shared" si="38"/>
        <v>10</v>
      </c>
      <c r="P159" s="108">
        <f t="shared" si="34"/>
        <v>10</v>
      </c>
      <c r="Q159" s="108">
        <f t="shared" si="26"/>
        <v>0</v>
      </c>
      <c r="R159" s="108">
        <f t="shared" si="35"/>
        <v>0</v>
      </c>
      <c r="S159" s="108">
        <f t="shared" si="27"/>
        <v>0</v>
      </c>
      <c r="T159" s="108">
        <f t="shared" si="28"/>
        <v>0</v>
      </c>
      <c r="U159" s="108">
        <f t="shared" si="36"/>
        <v>50</v>
      </c>
      <c r="V159" s="108">
        <f t="shared" si="29"/>
        <v>0</v>
      </c>
    </row>
    <row r="160" spans="1:22" ht="57" x14ac:dyDescent="0.2">
      <c r="A160" s="4" t="str">
        <f>Questions!$A160</f>
        <v>FIDP-10</v>
      </c>
      <c r="B160" s="4" t="str">
        <f t="shared" si="30"/>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Evaluation'!$A$56:$K$346,3,0)&amp;""</f>
        <v>Yes</v>
      </c>
      <c r="G160" s="4" t="str">
        <f>VLOOKUP($A160,'Institution Evaluation'!$A$56:$K$346,7,0)&amp;""</f>
        <v>Not scored</v>
      </c>
      <c r="H160" s="4" t="str">
        <f>VLOOKUP($A160,'Institution Evaluation'!$A$56:$K$346,8,0)&amp;""</f>
        <v/>
      </c>
      <c r="I160" s="4" t="str">
        <f>VLOOKUP($A160,'Institution Evaluation'!$A$56:$K$346,9,0)&amp;""</f>
        <v/>
      </c>
      <c r="J160" s="4" t="str">
        <f>VLOOKUP($A160,'Institution Evaluation'!$A$56:$K$346,10,0)&amp;""</f>
        <v/>
      </c>
      <c r="K160" s="4">
        <f t="shared" si="31"/>
        <v>10</v>
      </c>
      <c r="L160" s="108" t="str">
        <f>IF($E160="Not Scored", "N/A",IF(AND($D160='Auto Responses'!$J$27,$H160=""),"N/A",IF(AND($D160='Auto Responses'!$J$27,$H160='Auto Responses'!$J$7),1,IF(AND($D160='Auto Responses'!$J$27,$H160='Auto Responses'!$J$8),0,IF(OR($F160=$G160,$H160='Auto Responses'!$J$7),1,0)))))</f>
        <v>N/A</v>
      </c>
      <c r="M160" s="4" t="str">
        <f>VLOOKUP($A160,'Institution Evaluation'!$A$56:$K$346,10,0)&amp;""</f>
        <v/>
      </c>
      <c r="N160" s="4">
        <f t="shared" si="32"/>
        <v>0</v>
      </c>
      <c r="O160" s="108" t="str">
        <f t="shared" si="38"/>
        <v>N/A</v>
      </c>
      <c r="P160" s="108" t="str">
        <f t="shared" si="34"/>
        <v>N/A</v>
      </c>
      <c r="Q160" s="108">
        <f t="shared" si="26"/>
        <v>0</v>
      </c>
      <c r="R160" s="108">
        <f t="shared" si="35"/>
        <v>0</v>
      </c>
      <c r="S160" s="108">
        <f t="shared" si="27"/>
        <v>0</v>
      </c>
      <c r="T160" s="108">
        <f t="shared" si="28"/>
        <v>0</v>
      </c>
      <c r="U160" s="108">
        <f t="shared" si="36"/>
        <v>50</v>
      </c>
      <c r="V160" s="108">
        <f t="shared" si="29"/>
        <v>0</v>
      </c>
    </row>
    <row r="161" spans="1:22" ht="57" x14ac:dyDescent="0.2">
      <c r="A161" s="4" t="str">
        <f>Questions!$A161</f>
        <v>FIDP-11</v>
      </c>
      <c r="B161" s="4" t="str">
        <f t="shared" si="30"/>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Evaluation'!$A$56:$K$346,3,0)&amp;""</f>
        <v>Yes</v>
      </c>
      <c r="G161" s="4" t="str">
        <f>VLOOKUP($A161,'Institution Evaluation'!$A$56:$K$346,7,0)&amp;""</f>
        <v>Yes</v>
      </c>
      <c r="H161" s="4" t="str">
        <f>VLOOKUP($A161,'Institution Evaluation'!$A$56:$K$346,8,0)&amp;""</f>
        <v/>
      </c>
      <c r="I161" s="4" t="str">
        <f>VLOOKUP($A161,'Institution Evaluation'!$A$56:$K$346,9,0)&amp;""</f>
        <v>Minor Importance</v>
      </c>
      <c r="J161" s="4" t="str">
        <f>VLOOKUP($A161,'Institution Evaluation'!$A$56:$K$346,10,0)&amp;""</f>
        <v/>
      </c>
      <c r="K161" s="4">
        <f t="shared" si="31"/>
        <v>5</v>
      </c>
      <c r="L161" s="108">
        <f>IF($E161="Not Scored", "N/A",IF(AND($D161='Auto Responses'!$J$27,$H161=""),"N/A",IF(AND($D161='Auto Responses'!$J$27,$H161='Auto Responses'!$J$7),1,IF(AND($D161='Auto Responses'!$J$27,$H161='Auto Responses'!$J$8),0,IF(OR($F161=$G161,$H161='Auto Responses'!$J$7),1,0)))))</f>
        <v>1</v>
      </c>
      <c r="M161" s="4" t="str">
        <f>VLOOKUP($A161,'Institution Evaluation'!$A$56:$K$346,10,0)&amp;""</f>
        <v/>
      </c>
      <c r="N161" s="4">
        <f t="shared" si="32"/>
        <v>0</v>
      </c>
      <c r="O161" s="108">
        <f t="shared" si="38"/>
        <v>5</v>
      </c>
      <c r="P161" s="108">
        <f t="shared" si="34"/>
        <v>5</v>
      </c>
      <c r="Q161" s="108">
        <f t="shared" si="26"/>
        <v>0</v>
      </c>
      <c r="R161" s="108">
        <f t="shared" si="35"/>
        <v>0</v>
      </c>
      <c r="S161" s="108">
        <f t="shared" si="27"/>
        <v>0</v>
      </c>
      <c r="T161" s="108">
        <f t="shared" si="28"/>
        <v>0</v>
      </c>
      <c r="U161" s="108">
        <f t="shared" si="36"/>
        <v>50</v>
      </c>
      <c r="V161" s="108">
        <f t="shared" si="29"/>
        <v>0</v>
      </c>
    </row>
    <row r="162" spans="1:22" ht="57" x14ac:dyDescent="0.2">
      <c r="A162" s="4" t="str">
        <f>Questions!$A162</f>
        <v>PPPR-01</v>
      </c>
      <c r="B162" s="4" t="str">
        <f t="shared" si="30"/>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Evaluation'!$A$56:$K$346,3,0)&amp;""</f>
        <v>No</v>
      </c>
      <c r="G162" s="4" t="str">
        <f>VLOOKUP($A162,'Institution Evaluation'!$A$56:$K$346,7,0)&amp;""</f>
        <v>Yes</v>
      </c>
      <c r="H162" s="4" t="str">
        <f>VLOOKUP($A162,'Institution Evaluation'!$A$56:$K$346,8,0)&amp;""</f>
        <v/>
      </c>
      <c r="I162" s="4" t="str">
        <f>VLOOKUP($A162,'Institution Evaluation'!$A$56:$K$346,9,0)&amp;""</f>
        <v>Critical Importance</v>
      </c>
      <c r="J162" s="4" t="str">
        <f>VLOOKUP($A162,'Institution Evaluation'!$A$56:$K$346,10,0)&amp;""</f>
        <v/>
      </c>
      <c r="K162" s="4">
        <f t="shared" si="31"/>
        <v>20</v>
      </c>
      <c r="L162" s="108">
        <f>IF($E162="Not Scored", "N/A",IF(AND($D162='Auto Responses'!$J$27,$H162=""),"N/A",IF(AND($D162='Auto Responses'!$J$27,$H162='Auto Responses'!$J$7),1,IF(AND($D162='Auto Responses'!$J$27,$H162='Auto Responses'!$J$8),0,IF(OR($F162=$G162,$H162='Auto Responses'!$J$7),1,0)))))</f>
        <v>0</v>
      </c>
      <c r="M162" s="4" t="str">
        <f>VLOOKUP($A162,'Institution Evaluation'!$A$56:$K$346,10,0)&amp;""</f>
        <v/>
      </c>
      <c r="N162" s="4">
        <f t="shared" si="32"/>
        <v>1</v>
      </c>
      <c r="O162" s="108">
        <f t="shared" si="33"/>
        <v>20</v>
      </c>
      <c r="P162" s="108">
        <f t="shared" si="34"/>
        <v>0</v>
      </c>
      <c r="Q162" s="108">
        <f t="shared" si="26"/>
        <v>0</v>
      </c>
      <c r="R162" s="108">
        <f t="shared" si="35"/>
        <v>0</v>
      </c>
      <c r="S162" s="108">
        <f t="shared" si="27"/>
        <v>0</v>
      </c>
      <c r="T162" s="108">
        <f t="shared" si="28"/>
        <v>1</v>
      </c>
      <c r="U162" s="108">
        <f t="shared" si="36"/>
        <v>51</v>
      </c>
      <c r="V162" s="108">
        <f t="shared" si="29"/>
        <v>51</v>
      </c>
    </row>
    <row r="163" spans="1:22" ht="57" x14ac:dyDescent="0.2">
      <c r="A163" s="4" t="str">
        <f>Questions!$A163</f>
        <v>PPPR-02</v>
      </c>
      <c r="B163" s="4" t="str">
        <f t="shared" si="30"/>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Evaluation'!$A$56:$K$346,3,0)&amp;""</f>
        <v>Yes</v>
      </c>
      <c r="G163" s="4" t="str">
        <f>VLOOKUP($A163,'Institution Evaluation'!$A$56:$K$346,7,0)&amp;""</f>
        <v>Yes</v>
      </c>
      <c r="H163" s="4" t="str">
        <f>VLOOKUP($A163,'Institution Evaluation'!$A$56:$K$346,8,0)&amp;""</f>
        <v/>
      </c>
      <c r="I163" s="4" t="str">
        <f>VLOOKUP($A163,'Institution Evaluation'!$A$56:$K$346,9,0)&amp;""</f>
        <v>Critical Importance</v>
      </c>
      <c r="J163" s="4" t="str">
        <f>VLOOKUP($A163,'Institution Evaluation'!$A$56:$K$346,10,0)&amp;""</f>
        <v/>
      </c>
      <c r="K163" s="4">
        <f t="shared" si="31"/>
        <v>20</v>
      </c>
      <c r="L163" s="108">
        <f>IF($E163="Not Scored", "N/A",IF(AND($D163='Auto Responses'!$J$27,$H163=""),"N/A",IF(AND($D163='Auto Responses'!$J$27,$H163='Auto Responses'!$J$7),1,IF(AND($D163='Auto Responses'!$J$27,$H163='Auto Responses'!$J$8),0,IF(OR($F163=$G163,$H163='Auto Responses'!$J$7),1,0)))))</f>
        <v>1</v>
      </c>
      <c r="M163" s="4" t="str">
        <f>VLOOKUP($A163,'Institution Evaluation'!$A$56:$K$346,10,0)&amp;""</f>
        <v/>
      </c>
      <c r="N163" s="4">
        <f t="shared" si="32"/>
        <v>1</v>
      </c>
      <c r="O163" s="108">
        <f t="shared" si="33"/>
        <v>20</v>
      </c>
      <c r="P163" s="108">
        <f t="shared" si="34"/>
        <v>20</v>
      </c>
      <c r="Q163" s="108">
        <f t="shared" si="26"/>
        <v>0</v>
      </c>
      <c r="R163" s="108">
        <f t="shared" si="35"/>
        <v>0</v>
      </c>
      <c r="S163" s="108">
        <f t="shared" si="27"/>
        <v>0</v>
      </c>
      <c r="T163" s="108">
        <f t="shared" si="28"/>
        <v>1</v>
      </c>
      <c r="U163" s="108">
        <f t="shared" si="36"/>
        <v>52</v>
      </c>
      <c r="V163" s="108">
        <f t="shared" si="29"/>
        <v>52</v>
      </c>
    </row>
    <row r="164" spans="1:22" ht="57" x14ac:dyDescent="0.2">
      <c r="A164" s="4" t="str">
        <f>Questions!$A164</f>
        <v>PPPR-03</v>
      </c>
      <c r="B164" s="4" t="str">
        <f t="shared" si="30"/>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Evaluation'!$A$56:$K$346,3,0)&amp;""</f>
        <v>Yes</v>
      </c>
      <c r="G164" s="4" t="str">
        <f>VLOOKUP($A164,'Institution Evaluation'!$A$56:$K$346,7,0)&amp;""</f>
        <v>Yes</v>
      </c>
      <c r="H164" s="4" t="str">
        <f>VLOOKUP($A164,'Institution Evaluation'!$A$56:$K$346,8,0)&amp;""</f>
        <v/>
      </c>
      <c r="I164" s="4" t="str">
        <f>VLOOKUP($A164,'Institution Evaluation'!$A$56:$K$346,9,0)&amp;""</f>
        <v>Critical Importance</v>
      </c>
      <c r="J164" s="4" t="str">
        <f>VLOOKUP($A164,'Institution Evaluation'!$A$56:$K$346,10,0)&amp;""</f>
        <v/>
      </c>
      <c r="K164" s="4">
        <f t="shared" si="31"/>
        <v>20</v>
      </c>
      <c r="L164" s="108">
        <f>IF($E164="Not Scored", "N/A",IF(AND($D164='Auto Responses'!$J$27,$H164=""),"N/A",IF(AND($D164='Auto Responses'!$J$27,$H164='Auto Responses'!$J$7),1,IF(AND($D164='Auto Responses'!$J$27,$H164='Auto Responses'!$J$8),0,IF(OR($F164=$G164,$H164='Auto Responses'!$J$7),1,0)))))</f>
        <v>1</v>
      </c>
      <c r="M164" s="4" t="str">
        <f>VLOOKUP($A164,'Institution Evaluation'!$A$56:$K$346,10,0)&amp;""</f>
        <v/>
      </c>
      <c r="N164" s="4">
        <f t="shared" si="32"/>
        <v>1</v>
      </c>
      <c r="O164" s="108">
        <f t="shared" si="33"/>
        <v>20</v>
      </c>
      <c r="P164" s="108">
        <f t="shared" si="34"/>
        <v>20</v>
      </c>
      <c r="Q164" s="108">
        <f t="shared" si="26"/>
        <v>0</v>
      </c>
      <c r="R164" s="108">
        <f t="shared" si="35"/>
        <v>0</v>
      </c>
      <c r="S164" s="108">
        <f t="shared" si="27"/>
        <v>0</v>
      </c>
      <c r="T164" s="108">
        <f t="shared" si="28"/>
        <v>1</v>
      </c>
      <c r="U164" s="108">
        <f t="shared" si="36"/>
        <v>53</v>
      </c>
      <c r="V164" s="108">
        <f t="shared" si="29"/>
        <v>53</v>
      </c>
    </row>
    <row r="165" spans="1:22" ht="57" x14ac:dyDescent="0.2">
      <c r="A165" s="4" t="str">
        <f>Questions!$A165</f>
        <v>PPPR-04</v>
      </c>
      <c r="B165" s="4" t="str">
        <f t="shared" si="30"/>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Evaluation'!$A$56:$K$346,3,0)&amp;""</f>
        <v>No</v>
      </c>
      <c r="G165" s="4" t="str">
        <f>VLOOKUP($A165,'Institution Evaluation'!$A$56:$K$346,7,0)&amp;""</f>
        <v>Yes</v>
      </c>
      <c r="H165" s="4" t="str">
        <f>VLOOKUP($A165,'Institution Evaluation'!$A$56:$K$346,8,0)&amp;""</f>
        <v/>
      </c>
      <c r="I165" s="4" t="str">
        <f>VLOOKUP($A165,'Institution Evaluation'!$A$56:$K$346,9,0)&amp;""</f>
        <v>Standard Importance</v>
      </c>
      <c r="J165" s="4" t="str">
        <f>VLOOKUP($A165,'Institution Evaluation'!$A$56:$K$346,10,0)&amp;""</f>
        <v/>
      </c>
      <c r="K165" s="4">
        <f t="shared" si="31"/>
        <v>10</v>
      </c>
      <c r="L165" s="108">
        <f>IF($E165="Not Scored", "N/A",IF(AND($D165='Auto Responses'!$J$27,$H165=""),"N/A",IF(AND($D165='Auto Responses'!$J$27,$H165='Auto Responses'!$J$7),1,IF(AND($D165='Auto Responses'!$J$27,$H165='Auto Responses'!$J$8),0,IF(OR($F165=$G165,$H165='Auto Responses'!$J$7),1,0)))))</f>
        <v>0</v>
      </c>
      <c r="M165" s="4" t="str">
        <f>VLOOKUP($A165,'Institution Evaluation'!$A$56:$K$346,10,0)&amp;""</f>
        <v/>
      </c>
      <c r="N165" s="4">
        <f t="shared" si="32"/>
        <v>0</v>
      </c>
      <c r="O165" s="108">
        <f t="shared" si="33"/>
        <v>10</v>
      </c>
      <c r="P165" s="108">
        <f t="shared" si="34"/>
        <v>0</v>
      </c>
      <c r="Q165" s="108">
        <f t="shared" si="26"/>
        <v>0</v>
      </c>
      <c r="R165" s="108">
        <f t="shared" si="35"/>
        <v>0</v>
      </c>
      <c r="S165" s="108">
        <f t="shared" si="27"/>
        <v>0</v>
      </c>
      <c r="T165" s="108">
        <f t="shared" si="28"/>
        <v>0</v>
      </c>
      <c r="U165" s="108">
        <f t="shared" si="36"/>
        <v>53</v>
      </c>
      <c r="V165" s="108">
        <f t="shared" si="29"/>
        <v>0</v>
      </c>
    </row>
    <row r="166" spans="1:22" ht="57" x14ac:dyDescent="0.2">
      <c r="A166" s="4" t="str">
        <f>Questions!$A166</f>
        <v>PPPR-05</v>
      </c>
      <c r="B166" s="4" t="str">
        <f t="shared" si="30"/>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Evaluation'!$A$56:$K$346,3,0)&amp;""</f>
        <v>No</v>
      </c>
      <c r="G166" s="4" t="str">
        <f>VLOOKUP($A166,'Institution Evaluation'!$A$56:$K$346,7,0)&amp;""</f>
        <v>Yes</v>
      </c>
      <c r="H166" s="4" t="str">
        <f>VLOOKUP($A166,'Institution Evaluation'!$A$56:$K$346,8,0)&amp;""</f>
        <v/>
      </c>
      <c r="I166" s="4" t="str">
        <f>VLOOKUP($A166,'Institution Evaluation'!$A$56:$K$346,9,0)&amp;""</f>
        <v>Standard Importance</v>
      </c>
      <c r="J166" s="4" t="str">
        <f>VLOOKUP($A166,'Institution Evaluation'!$A$56:$K$346,10,0)&amp;""</f>
        <v/>
      </c>
      <c r="K166" s="4">
        <f t="shared" si="31"/>
        <v>10</v>
      </c>
      <c r="L166" s="108">
        <f>IF($E166="Not Scored", "N/A",IF(AND($D166='Auto Responses'!$J$27,$H166=""),"N/A",IF(AND($D166='Auto Responses'!$J$27,$H166='Auto Responses'!$J$7),1,IF(AND($D166='Auto Responses'!$J$27,$H166='Auto Responses'!$J$8),0,IF(OR($F166=$G166,$H166='Auto Responses'!$J$7),1,0)))))</f>
        <v>0</v>
      </c>
      <c r="M166" s="4" t="str">
        <f>VLOOKUP($A166,'Institution Evaluation'!$A$56:$K$346,10,0)&amp;""</f>
        <v/>
      </c>
      <c r="N166" s="4">
        <f t="shared" si="32"/>
        <v>0</v>
      </c>
      <c r="O166" s="108">
        <f t="shared" si="33"/>
        <v>10</v>
      </c>
      <c r="P166" s="108">
        <f t="shared" si="34"/>
        <v>0</v>
      </c>
      <c r="Q166" s="108">
        <f t="shared" si="26"/>
        <v>0</v>
      </c>
      <c r="R166" s="108">
        <f t="shared" si="35"/>
        <v>0</v>
      </c>
      <c r="S166" s="108">
        <f t="shared" si="27"/>
        <v>0</v>
      </c>
      <c r="T166" s="108">
        <f t="shared" si="28"/>
        <v>0</v>
      </c>
      <c r="U166" s="108">
        <f t="shared" si="36"/>
        <v>53</v>
      </c>
      <c r="V166" s="108">
        <f t="shared" si="29"/>
        <v>0</v>
      </c>
    </row>
    <row r="167" spans="1:22" ht="57" x14ac:dyDescent="0.2">
      <c r="A167" s="4" t="str">
        <f>Questions!$A167</f>
        <v>PPPR-06</v>
      </c>
      <c r="B167" s="4" t="str">
        <f t="shared" si="30"/>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Evaluation'!$A$56:$K$346,3,0)&amp;""</f>
        <v>Yes</v>
      </c>
      <c r="G167" s="4" t="str">
        <f>VLOOKUP($A167,'Institution Evaluation'!$A$56:$K$346,7,0)&amp;""</f>
        <v>Yes</v>
      </c>
      <c r="H167" s="4" t="str">
        <f>VLOOKUP($A167,'Institution Evaluation'!$A$56:$K$346,8,0)&amp;""</f>
        <v/>
      </c>
      <c r="I167" s="4" t="str">
        <f>VLOOKUP($A167,'Institution Evaluation'!$A$56:$K$346,9,0)&amp;""</f>
        <v>Standard Importance</v>
      </c>
      <c r="J167" s="4" t="str">
        <f>VLOOKUP($A167,'Institution Evaluation'!$A$56:$K$346,10,0)&amp;""</f>
        <v/>
      </c>
      <c r="K167" s="4">
        <f t="shared" si="31"/>
        <v>10</v>
      </c>
      <c r="L167" s="108">
        <f>IF($E167="Not Scored", "N/A",IF(AND($D167='Auto Responses'!$J$27,$H167=""),"N/A",IF(AND($D167='Auto Responses'!$J$27,$H167='Auto Responses'!$J$7),1,IF(AND($D167='Auto Responses'!$J$27,$H167='Auto Responses'!$J$8),0,IF(OR($F167=$G167,$H167='Auto Responses'!$J$7),1,0)))))</f>
        <v>1</v>
      </c>
      <c r="M167" s="4" t="str">
        <f>VLOOKUP($A167,'Institution Evaluation'!$A$56:$K$346,10,0)&amp;""</f>
        <v/>
      </c>
      <c r="N167" s="4">
        <f t="shared" si="32"/>
        <v>0</v>
      </c>
      <c r="O167" s="108">
        <f t="shared" si="33"/>
        <v>10</v>
      </c>
      <c r="P167" s="108">
        <f t="shared" si="34"/>
        <v>10</v>
      </c>
      <c r="Q167" s="108">
        <f t="shared" si="26"/>
        <v>0</v>
      </c>
      <c r="R167" s="108">
        <f t="shared" si="35"/>
        <v>0</v>
      </c>
      <c r="S167" s="108">
        <f t="shared" si="27"/>
        <v>0</v>
      </c>
      <c r="T167" s="108">
        <f t="shared" si="28"/>
        <v>0</v>
      </c>
      <c r="U167" s="108">
        <f t="shared" si="36"/>
        <v>53</v>
      </c>
      <c r="V167" s="108">
        <f t="shared" si="29"/>
        <v>0</v>
      </c>
    </row>
    <row r="168" spans="1:22" ht="57" x14ac:dyDescent="0.2">
      <c r="A168" s="4" t="str">
        <f>Questions!$A168</f>
        <v>PPPR-07</v>
      </c>
      <c r="B168" s="4" t="str">
        <f t="shared" si="30"/>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Evaluation'!$A$56:$K$346,3,0)&amp;""</f>
        <v>Yes</v>
      </c>
      <c r="G168" s="4" t="str">
        <f>VLOOKUP($A168,'Institution Evaluation'!$A$56:$K$346,7,0)&amp;""</f>
        <v>Yes</v>
      </c>
      <c r="H168" s="4" t="str">
        <f>VLOOKUP($A168,'Institution Evaluation'!$A$56:$K$346,8,0)&amp;""</f>
        <v/>
      </c>
      <c r="I168" s="4" t="str">
        <f>VLOOKUP($A168,'Institution Evaluation'!$A$56:$K$346,9,0)&amp;""</f>
        <v>Standard Importance</v>
      </c>
      <c r="J168" s="4" t="str">
        <f>VLOOKUP($A168,'Institution Evaluation'!$A$56:$K$346,10,0)&amp;""</f>
        <v/>
      </c>
      <c r="K168" s="4">
        <f t="shared" si="31"/>
        <v>10</v>
      </c>
      <c r="L168" s="108">
        <f>IF($E168="Not Scored", "N/A",IF(AND($D168='Auto Responses'!$J$27,$H168=""),"N/A",IF(AND($D168='Auto Responses'!$J$27,$H168='Auto Responses'!$J$7),1,IF(AND($D168='Auto Responses'!$J$27,$H168='Auto Responses'!$J$8),0,IF(OR($F168=$G168,$H168='Auto Responses'!$J$7),1,0)))))</f>
        <v>1</v>
      </c>
      <c r="M168" s="4" t="str">
        <f>VLOOKUP($A168,'Institution Evaluation'!$A$56:$K$346,10,0)&amp;""</f>
        <v/>
      </c>
      <c r="N168" s="4">
        <f t="shared" si="32"/>
        <v>0</v>
      </c>
      <c r="O168" s="108">
        <f t="shared" si="33"/>
        <v>10</v>
      </c>
      <c r="P168" s="108">
        <f t="shared" si="34"/>
        <v>10</v>
      </c>
      <c r="Q168" s="108">
        <f t="shared" si="26"/>
        <v>0</v>
      </c>
      <c r="R168" s="108">
        <f t="shared" si="35"/>
        <v>0</v>
      </c>
      <c r="S168" s="108">
        <f t="shared" si="27"/>
        <v>0</v>
      </c>
      <c r="T168" s="108">
        <f t="shared" si="28"/>
        <v>0</v>
      </c>
      <c r="U168" s="108">
        <f t="shared" si="36"/>
        <v>53</v>
      </c>
      <c r="V168" s="108">
        <f t="shared" si="29"/>
        <v>0</v>
      </c>
    </row>
    <row r="169" spans="1:22" ht="57" x14ac:dyDescent="0.2">
      <c r="A169" s="4" t="str">
        <f>Questions!$A169</f>
        <v>PPPR-08</v>
      </c>
      <c r="B169" s="4" t="str">
        <f t="shared" si="30"/>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Evaluation'!$A$56:$K$346,3,0)&amp;""</f>
        <v>Yes</v>
      </c>
      <c r="G169" s="4" t="str">
        <f>VLOOKUP($A169,'Institution Evaluation'!$A$56:$K$346,7,0)&amp;""</f>
        <v>Yes</v>
      </c>
      <c r="H169" s="4" t="str">
        <f>VLOOKUP($A169,'Institution Evaluation'!$A$56:$K$346,8,0)&amp;""</f>
        <v/>
      </c>
      <c r="I169" s="4" t="str">
        <f>VLOOKUP($A169,'Institution Evaluation'!$A$56:$K$346,9,0)&amp;""</f>
        <v>Standard Importance</v>
      </c>
      <c r="J169" s="4" t="str">
        <f>VLOOKUP($A169,'Institution Evaluation'!$A$56:$K$346,10,0)&amp;""</f>
        <v/>
      </c>
      <c r="K169" s="4">
        <f t="shared" si="31"/>
        <v>10</v>
      </c>
      <c r="L169" s="108">
        <f>IF($E169="Not Scored", "N/A",IF(AND($D169='Auto Responses'!$J$27,$H169=""),"N/A",IF(AND($D169='Auto Responses'!$J$27,$H169='Auto Responses'!$J$7),1,IF(AND($D169='Auto Responses'!$J$27,$H169='Auto Responses'!$J$8),0,IF(OR($F169=$G169,$H169='Auto Responses'!$J$7),1,0)))))</f>
        <v>1</v>
      </c>
      <c r="M169" s="4" t="str">
        <f>VLOOKUP($A169,'Institution Evaluation'!$A$56:$K$346,10,0)&amp;""</f>
        <v/>
      </c>
      <c r="N169" s="4">
        <f t="shared" si="32"/>
        <v>0</v>
      </c>
      <c r="O169" s="108">
        <f t="shared" si="33"/>
        <v>10</v>
      </c>
      <c r="P169" s="108">
        <f t="shared" si="34"/>
        <v>10</v>
      </c>
      <c r="Q169" s="108">
        <f t="shared" si="26"/>
        <v>0</v>
      </c>
      <c r="R169" s="108">
        <f t="shared" si="35"/>
        <v>0</v>
      </c>
      <c r="S169" s="108">
        <f t="shared" si="27"/>
        <v>0</v>
      </c>
      <c r="T169" s="108">
        <f t="shared" si="28"/>
        <v>0</v>
      </c>
      <c r="U169" s="108">
        <f t="shared" si="36"/>
        <v>53</v>
      </c>
      <c r="V169" s="108">
        <f t="shared" si="29"/>
        <v>0</v>
      </c>
    </row>
    <row r="170" spans="1:22" ht="57" x14ac:dyDescent="0.2">
      <c r="A170" s="4" t="str">
        <f>Questions!$A170</f>
        <v>PPPR-09</v>
      </c>
      <c r="B170" s="4" t="str">
        <f t="shared" si="30"/>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Evaluation'!$A$56:$K$346,3,0)&amp;""</f>
        <v>No</v>
      </c>
      <c r="G170" s="4" t="str">
        <f>VLOOKUP($A170,'Institution Evaluation'!$A$56:$K$346,7,0)&amp;""</f>
        <v>Yes</v>
      </c>
      <c r="H170" s="4" t="str">
        <f>VLOOKUP($A170,'Institution Evaluation'!$A$56:$K$346,8,0)&amp;""</f>
        <v/>
      </c>
      <c r="I170" s="4" t="str">
        <f>VLOOKUP($A170,'Institution Evaluation'!$A$56:$K$346,9,0)&amp;""</f>
        <v>Minor Importance</v>
      </c>
      <c r="J170" s="4" t="str">
        <f>VLOOKUP($A170,'Institution Evaluation'!$A$56:$K$346,10,0)&amp;""</f>
        <v/>
      </c>
      <c r="K170" s="4">
        <f t="shared" si="31"/>
        <v>5</v>
      </c>
      <c r="L170" s="108">
        <f>IF($E170="Not Scored", "N/A",IF(AND($D170='Auto Responses'!$J$27,$H170=""),"N/A",IF(AND($D170='Auto Responses'!$J$27,$H170='Auto Responses'!$J$7),1,IF(AND($D170='Auto Responses'!$J$27,$H170='Auto Responses'!$J$8),0,IF(OR($F170=$G170,$H170='Auto Responses'!$J$7),1,0)))))</f>
        <v>0</v>
      </c>
      <c r="M170" s="4" t="str">
        <f>VLOOKUP($A170,'Institution Evaluation'!$A$56:$K$346,10,0)&amp;""</f>
        <v/>
      </c>
      <c r="N170" s="4">
        <f t="shared" si="32"/>
        <v>0</v>
      </c>
      <c r="O170" s="108">
        <f t="shared" si="33"/>
        <v>5</v>
      </c>
      <c r="P170" s="108">
        <f t="shared" si="34"/>
        <v>0</v>
      </c>
      <c r="Q170" s="108">
        <f t="shared" si="26"/>
        <v>0</v>
      </c>
      <c r="R170" s="108">
        <f t="shared" si="35"/>
        <v>0</v>
      </c>
      <c r="S170" s="108">
        <f t="shared" si="27"/>
        <v>0</v>
      </c>
      <c r="T170" s="108">
        <f t="shared" si="28"/>
        <v>0</v>
      </c>
      <c r="U170" s="108">
        <f t="shared" si="36"/>
        <v>53</v>
      </c>
      <c r="V170" s="108">
        <f t="shared" si="29"/>
        <v>0</v>
      </c>
    </row>
    <row r="171" spans="1:22" ht="57" x14ac:dyDescent="0.2">
      <c r="A171" s="4" t="str">
        <f>Questions!$A171</f>
        <v>PPPR-10</v>
      </c>
      <c r="B171" s="4" t="str">
        <f t="shared" si="30"/>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Evaluation'!$A$56:$K$346,3,0)&amp;""</f>
        <v>Yes</v>
      </c>
      <c r="G171" s="4" t="str">
        <f>VLOOKUP($A171,'Institution Evaluation'!$A$56:$K$346,7,0)&amp;""</f>
        <v>Yes</v>
      </c>
      <c r="H171" s="4" t="str">
        <f>VLOOKUP($A171,'Institution Evaluation'!$A$56:$K$346,8,0)&amp;""</f>
        <v/>
      </c>
      <c r="I171" s="4" t="str">
        <f>VLOOKUP($A171,'Institution Evaluation'!$A$56:$K$346,9,0)&amp;""</f>
        <v>Minor Importance</v>
      </c>
      <c r="J171" s="4" t="str">
        <f>VLOOKUP($A171,'Institution Evaluation'!$A$56:$K$346,10,0)&amp;""</f>
        <v/>
      </c>
      <c r="K171" s="4">
        <f t="shared" si="31"/>
        <v>5</v>
      </c>
      <c r="L171" s="108">
        <f>IF($E171="Not Scored", "N/A",IF(AND($D171='Auto Responses'!$J$27,$H171=""),"N/A",IF(AND($D171='Auto Responses'!$J$27,$H171='Auto Responses'!$J$7),1,IF(AND($D171='Auto Responses'!$J$27,$H171='Auto Responses'!$J$8),0,IF(OR($F171=$G171,$H171='Auto Responses'!$J$7),1,0)))))</f>
        <v>1</v>
      </c>
      <c r="M171" s="4" t="str">
        <f>VLOOKUP($A171,'Institution Evaluation'!$A$56:$K$346,10,0)&amp;""</f>
        <v/>
      </c>
      <c r="N171" s="4">
        <f t="shared" si="32"/>
        <v>0</v>
      </c>
      <c r="O171" s="108">
        <f t="shared" si="33"/>
        <v>5</v>
      </c>
      <c r="P171" s="108">
        <f t="shared" si="34"/>
        <v>5</v>
      </c>
      <c r="Q171" s="108">
        <f t="shared" si="26"/>
        <v>0</v>
      </c>
      <c r="R171" s="108">
        <f t="shared" si="35"/>
        <v>0</v>
      </c>
      <c r="S171" s="108">
        <f t="shared" si="27"/>
        <v>0</v>
      </c>
      <c r="T171" s="108">
        <f t="shared" si="28"/>
        <v>0</v>
      </c>
      <c r="U171" s="108">
        <f t="shared" si="36"/>
        <v>53</v>
      </c>
      <c r="V171" s="108">
        <f t="shared" si="29"/>
        <v>0</v>
      </c>
    </row>
    <row r="172" spans="1:22" ht="57" x14ac:dyDescent="0.2">
      <c r="A172" s="4" t="str">
        <f>Questions!$A172</f>
        <v>PPPR-11</v>
      </c>
      <c r="B172" s="4" t="str">
        <f t="shared" si="30"/>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Evaluation'!$A$56:$K$346,3,0)&amp;""</f>
        <v>Yes</v>
      </c>
      <c r="G172" s="4" t="str">
        <f>VLOOKUP($A172,'Institution Evaluation'!$A$56:$K$346,7,0)&amp;""</f>
        <v>Yes</v>
      </c>
      <c r="H172" s="4" t="str">
        <f>VLOOKUP($A172,'Institution Evaluation'!$A$56:$K$346,8,0)&amp;""</f>
        <v/>
      </c>
      <c r="I172" s="4" t="str">
        <f>VLOOKUP($A172,'Institution Evaluation'!$A$56:$K$346,9,0)&amp;""</f>
        <v>Minor Importance</v>
      </c>
      <c r="J172" s="4" t="str">
        <f>VLOOKUP($A172,'Institution Evaluation'!$A$56:$K$346,10,0)&amp;""</f>
        <v/>
      </c>
      <c r="K172" s="4">
        <f t="shared" si="31"/>
        <v>5</v>
      </c>
      <c r="L172" s="108">
        <f>IF($E172="Not Scored", "N/A",IF(AND($D172='Auto Responses'!$J$27,$H172=""),"N/A",IF(AND($D172='Auto Responses'!$J$27,$H172='Auto Responses'!$J$7),1,IF(AND($D172='Auto Responses'!$J$27,$H172='Auto Responses'!$J$8),0,IF(OR($F172=$G172,$H172='Auto Responses'!$J$7),1,0)))))</f>
        <v>1</v>
      </c>
      <c r="M172" s="4" t="str">
        <f>VLOOKUP($A172,'Institution Evaluation'!$A$56:$K$346,10,0)&amp;""</f>
        <v/>
      </c>
      <c r="N172" s="4">
        <f t="shared" si="32"/>
        <v>0</v>
      </c>
      <c r="O172" s="108">
        <f t="shared" si="33"/>
        <v>5</v>
      </c>
      <c r="P172" s="108">
        <f t="shared" si="34"/>
        <v>5</v>
      </c>
      <c r="Q172" s="108">
        <f t="shared" si="26"/>
        <v>0</v>
      </c>
      <c r="R172" s="108">
        <f t="shared" si="35"/>
        <v>0</v>
      </c>
      <c r="S172" s="108">
        <f t="shared" si="27"/>
        <v>0</v>
      </c>
      <c r="T172" s="108">
        <f t="shared" si="28"/>
        <v>0</v>
      </c>
      <c r="U172" s="108">
        <f t="shared" si="36"/>
        <v>53</v>
      </c>
      <c r="V172" s="108">
        <f t="shared" si="29"/>
        <v>0</v>
      </c>
    </row>
    <row r="173" spans="1:22" ht="57" x14ac:dyDescent="0.2">
      <c r="A173" s="4" t="str">
        <f>Questions!$A173</f>
        <v>PPPR-12</v>
      </c>
      <c r="B173" s="4" t="str">
        <f t="shared" si="30"/>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Evaluation'!$A$56:$K$346,3,0)&amp;""</f>
        <v>Yes</v>
      </c>
      <c r="G173" s="4" t="str">
        <f>VLOOKUP($A173,'Institution Evaluation'!$A$56:$K$346,7,0)&amp;""</f>
        <v>Yes</v>
      </c>
      <c r="H173" s="4" t="str">
        <f>VLOOKUP($A173,'Institution Evaluation'!$A$56:$K$346,8,0)&amp;""</f>
        <v/>
      </c>
      <c r="I173" s="4" t="str">
        <f>VLOOKUP($A173,'Institution Evaluation'!$A$56:$K$346,9,0)&amp;""</f>
        <v>Minor Importance</v>
      </c>
      <c r="J173" s="4" t="str">
        <f>VLOOKUP($A173,'Institution Evaluation'!$A$56:$K$346,10,0)&amp;""</f>
        <v/>
      </c>
      <c r="K173" s="4">
        <f t="shared" si="31"/>
        <v>5</v>
      </c>
      <c r="L173" s="108">
        <f>IF($E173="Not Scored", "N/A",IF(AND($D173='Auto Responses'!$J$27,$H173=""),"N/A",IF(AND($D173='Auto Responses'!$J$27,$H173='Auto Responses'!$J$7),1,IF(AND($D173='Auto Responses'!$J$27,$H173='Auto Responses'!$J$8),0,IF(OR($F173=$G173,$H173='Auto Responses'!$J$7),1,0)))))</f>
        <v>1</v>
      </c>
      <c r="M173" s="4" t="str">
        <f>VLOOKUP($A173,'Institution Evaluation'!$A$56:$K$346,10,0)&amp;""</f>
        <v/>
      </c>
      <c r="N173" s="4">
        <f t="shared" si="32"/>
        <v>0</v>
      </c>
      <c r="O173" s="108">
        <f t="shared" si="33"/>
        <v>5</v>
      </c>
      <c r="P173" s="108">
        <f t="shared" si="34"/>
        <v>5</v>
      </c>
      <c r="Q173" s="108">
        <f t="shared" si="26"/>
        <v>0</v>
      </c>
      <c r="R173" s="108">
        <f t="shared" si="35"/>
        <v>0</v>
      </c>
      <c r="S173" s="108">
        <f t="shared" si="27"/>
        <v>0</v>
      </c>
      <c r="T173" s="108">
        <f t="shared" si="28"/>
        <v>0</v>
      </c>
      <c r="U173" s="108">
        <f t="shared" si="36"/>
        <v>53</v>
      </c>
      <c r="V173" s="108">
        <f t="shared" si="29"/>
        <v>0</v>
      </c>
    </row>
    <row r="174" spans="1:22" ht="57" x14ac:dyDescent="0.2">
      <c r="A174" s="4" t="str">
        <f>Questions!$A174</f>
        <v>PPPR-13</v>
      </c>
      <c r="B174" s="4" t="str">
        <f t="shared" si="30"/>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Evaluation'!$A$56:$K$346,3,0)&amp;""</f>
        <v>Yes</v>
      </c>
      <c r="G174" s="4" t="str">
        <f>VLOOKUP($A174,'Institution Evaluation'!$A$56:$K$346,7,0)&amp;""</f>
        <v>Yes</v>
      </c>
      <c r="H174" s="4" t="str">
        <f>VLOOKUP($A174,'Institution Evaluation'!$A$56:$K$346,8,0)&amp;""</f>
        <v/>
      </c>
      <c r="I174" s="4" t="str">
        <f>VLOOKUP($A174,'Institution Evaluation'!$A$56:$K$346,9,0)&amp;""</f>
        <v>Minor Importance</v>
      </c>
      <c r="J174" s="4" t="str">
        <f>VLOOKUP($A174,'Institution Evaluation'!$A$56:$K$346,10,0)&amp;""</f>
        <v/>
      </c>
      <c r="K174" s="4">
        <f t="shared" si="31"/>
        <v>5</v>
      </c>
      <c r="L174" s="108">
        <f>IF($E174="Not Scored", "N/A",IF(AND($D174='Auto Responses'!$J$27,$H174=""),"N/A",IF(AND($D174='Auto Responses'!$J$27,$H174='Auto Responses'!$J$7),1,IF(AND($D174='Auto Responses'!$J$27,$H174='Auto Responses'!$J$8),0,IF(OR($F174=$G174,$H174='Auto Responses'!$J$7),1,0)))))</f>
        <v>1</v>
      </c>
      <c r="M174" s="4" t="str">
        <f>VLOOKUP($A174,'Institution Evaluation'!$A$56:$K$346,10,0)&amp;""</f>
        <v/>
      </c>
      <c r="N174" s="4">
        <f t="shared" si="32"/>
        <v>0</v>
      </c>
      <c r="O174" s="108">
        <f t="shared" si="33"/>
        <v>5</v>
      </c>
      <c r="P174" s="108">
        <f t="shared" si="34"/>
        <v>5</v>
      </c>
      <c r="Q174" s="108">
        <f t="shared" si="26"/>
        <v>0</v>
      </c>
      <c r="R174" s="108">
        <f t="shared" si="35"/>
        <v>0</v>
      </c>
      <c r="S174" s="108">
        <f t="shared" si="27"/>
        <v>0</v>
      </c>
      <c r="T174" s="108">
        <f t="shared" si="28"/>
        <v>0</v>
      </c>
      <c r="U174" s="108">
        <f t="shared" si="36"/>
        <v>53</v>
      </c>
      <c r="V174" s="108">
        <f t="shared" si="29"/>
        <v>0</v>
      </c>
    </row>
    <row r="175" spans="1:22" ht="57" x14ac:dyDescent="0.2">
      <c r="A175" s="4" t="str">
        <f>Questions!$A175</f>
        <v>PPPR-14</v>
      </c>
      <c r="B175" s="4" t="str">
        <f t="shared" si="30"/>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Evaluation'!$A$56:$K$346,3,0)&amp;""</f>
        <v>No</v>
      </c>
      <c r="G175" s="4" t="str">
        <f>VLOOKUP($A175,'Institution Evaluation'!$A$56:$K$346,7,0)&amp;""</f>
        <v>Yes</v>
      </c>
      <c r="H175" s="4" t="str">
        <f>VLOOKUP($A175,'Institution Evaluation'!$A$56:$K$346,8,0)&amp;""</f>
        <v/>
      </c>
      <c r="I175" s="4" t="str">
        <f>VLOOKUP($A175,'Institution Evaluation'!$A$56:$K$346,9,0)&amp;""</f>
        <v>Minor Importance</v>
      </c>
      <c r="J175" s="4" t="str">
        <f>VLOOKUP($A175,'Institution Evaluation'!$A$56:$K$346,10,0)&amp;""</f>
        <v/>
      </c>
      <c r="K175" s="4">
        <f t="shared" si="31"/>
        <v>5</v>
      </c>
      <c r="L175" s="108">
        <f>IF($E175="Not Scored", "N/A",IF(AND($D175='Auto Responses'!$J$27,$H175=""),"N/A",IF(AND($D175='Auto Responses'!$J$27,$H175='Auto Responses'!$J$7),1,IF(AND($D175='Auto Responses'!$J$27,$H175='Auto Responses'!$J$8),0,IF(OR($F175=$G175,$H175='Auto Responses'!$J$7),1,0)))))</f>
        <v>0</v>
      </c>
      <c r="M175" s="4" t="str">
        <f>VLOOKUP($A175,'Institution Evaluation'!$A$56:$K$346,10,0)&amp;""</f>
        <v/>
      </c>
      <c r="N175" s="4">
        <f t="shared" si="32"/>
        <v>0</v>
      </c>
      <c r="O175" s="108">
        <f t="shared" si="33"/>
        <v>5</v>
      </c>
      <c r="P175" s="108">
        <f t="shared" si="34"/>
        <v>0</v>
      </c>
      <c r="Q175" s="108">
        <f t="shared" si="26"/>
        <v>0</v>
      </c>
      <c r="R175" s="108">
        <f t="shared" si="35"/>
        <v>0</v>
      </c>
      <c r="S175" s="108">
        <f t="shared" si="27"/>
        <v>0</v>
      </c>
      <c r="T175" s="108">
        <f t="shared" si="28"/>
        <v>0</v>
      </c>
      <c r="U175" s="108">
        <f t="shared" si="36"/>
        <v>53</v>
      </c>
      <c r="V175" s="108">
        <f t="shared" si="29"/>
        <v>0</v>
      </c>
    </row>
    <row r="176" spans="1:22" ht="57" x14ac:dyDescent="0.2">
      <c r="A176" s="4" t="str">
        <f>Questions!$A176</f>
        <v>PPPR-15</v>
      </c>
      <c r="B176" s="4" t="str">
        <f t="shared" si="30"/>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Evaluation'!$A$56:$K$346,3,0)&amp;""</f>
        <v>No</v>
      </c>
      <c r="G176" s="4" t="str">
        <f>VLOOKUP($A176,'Institution Evaluation'!$A$56:$K$346,7,0)&amp;""</f>
        <v>Yes</v>
      </c>
      <c r="H176" s="4" t="str">
        <f>VLOOKUP($A176,'Institution Evaluation'!$A$56:$K$346,8,0)&amp;""</f>
        <v/>
      </c>
      <c r="I176" s="4" t="str">
        <f>VLOOKUP($A176,'Institution Evaluation'!$A$56:$K$346,9,0)&amp;""</f>
        <v>Minor Importance</v>
      </c>
      <c r="J176" s="4" t="str">
        <f>VLOOKUP($A176,'Institution Evaluation'!$A$56:$K$346,10,0)&amp;""</f>
        <v/>
      </c>
      <c r="K176" s="4">
        <f t="shared" si="31"/>
        <v>5</v>
      </c>
      <c r="L176" s="108">
        <f>IF($E176="Not Scored", "N/A",IF(AND($D176='Auto Responses'!$J$27,$H176=""),"N/A",IF(AND($D176='Auto Responses'!$J$27,$H176='Auto Responses'!$J$7),1,IF(AND($D176='Auto Responses'!$J$27,$H176='Auto Responses'!$J$8),0,IF(OR($F176=$G176,$H176='Auto Responses'!$J$7),1,0)))))</f>
        <v>0</v>
      </c>
      <c r="M176" s="4" t="str">
        <f>VLOOKUP($A176,'Institution Evaluation'!$A$56:$K$346,10,0)&amp;""</f>
        <v/>
      </c>
      <c r="N176" s="4">
        <f t="shared" si="32"/>
        <v>0</v>
      </c>
      <c r="O176" s="108">
        <f>IF(OR($E176="Not Scored",$F176="N/A"),"N/A",IF($J176="",$K176,IF($J176="Minor Importance",5,IF($J176="Standard Importance",10,IF($J176="Critical Importance",20,0)))))</f>
        <v>5</v>
      </c>
      <c r="P176" s="108">
        <f t="shared" si="34"/>
        <v>0</v>
      </c>
      <c r="Q176" s="108">
        <f t="shared" si="26"/>
        <v>0</v>
      </c>
      <c r="R176" s="108">
        <f t="shared" si="35"/>
        <v>0</v>
      </c>
      <c r="S176" s="108">
        <f t="shared" si="27"/>
        <v>0</v>
      </c>
      <c r="T176" s="108">
        <f t="shared" si="28"/>
        <v>0</v>
      </c>
      <c r="U176" s="108">
        <f t="shared" si="36"/>
        <v>53</v>
      </c>
      <c r="V176" s="108">
        <f t="shared" si="29"/>
        <v>0</v>
      </c>
    </row>
    <row r="177" spans="1:22" ht="57" x14ac:dyDescent="0.2">
      <c r="A177" s="4" t="str">
        <f>Questions!$A177</f>
        <v>HFIH-01</v>
      </c>
      <c r="B177" s="4" t="str">
        <f t="shared" si="30"/>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Evaluation'!$A$56:$K$346,3,0)&amp;""</f>
        <v>Yes</v>
      </c>
      <c r="G177" s="4" t="str">
        <f>VLOOKUP($A177,'Institution Evaluation'!$A$56:$K$346,7,0)&amp;""</f>
        <v>Yes</v>
      </c>
      <c r="H177" s="4" t="str">
        <f>VLOOKUP($A177,'Institution Evaluation'!$A$56:$K$346,8,0)&amp;""</f>
        <v/>
      </c>
      <c r="I177" s="4" t="str">
        <f>VLOOKUP($A177,'Institution Evaluation'!$A$56:$K$346,9,0)&amp;""</f>
        <v>Standard Importance</v>
      </c>
      <c r="J177" s="4" t="str">
        <f>VLOOKUP($A177,'Institution Evaluation'!$A$56:$K$346,10,0)&amp;""</f>
        <v/>
      </c>
      <c r="K177" s="4">
        <f t="shared" si="31"/>
        <v>10</v>
      </c>
      <c r="L177" s="108">
        <f>IF($E177="Not Scored", "N/A",IF(AND($D177='Auto Responses'!$J$27,$H177=""),"N/A",IF(AND($D177='Auto Responses'!$J$27,$H177='Auto Responses'!$J$7),1,IF(AND($D177='Auto Responses'!$J$27,$H177='Auto Responses'!$J$8),0,IF(OR($F177=$G177,$H177='Auto Responses'!$J$7),1,0)))))</f>
        <v>1</v>
      </c>
      <c r="M177" s="4" t="str">
        <f>VLOOKUP($A177,'Institution Evaluation'!$A$56:$K$346,10,0)&amp;""</f>
        <v/>
      </c>
      <c r="N177" s="4">
        <f t="shared" si="32"/>
        <v>0</v>
      </c>
      <c r="O177" s="108">
        <f>IF(OR($F$17="No",$E177="Not Scored"),"N/A",IF($J177="",$K177,IF($J177="Minor Importance",5,IF($J177="Standard Importance",10,IF($J177="Critical Importance",20,0)))))</f>
        <v>10</v>
      </c>
      <c r="P177" s="108">
        <f t="shared" si="34"/>
        <v>10</v>
      </c>
      <c r="Q177" s="108">
        <f t="shared" si="26"/>
        <v>0</v>
      </c>
      <c r="R177" s="108">
        <f t="shared" si="35"/>
        <v>0</v>
      </c>
      <c r="S177" s="108">
        <f t="shared" si="27"/>
        <v>0</v>
      </c>
      <c r="T177" s="108">
        <f t="shared" si="28"/>
        <v>0</v>
      </c>
      <c r="U177" s="108">
        <f t="shared" si="36"/>
        <v>53</v>
      </c>
      <c r="V177" s="108">
        <f t="shared" si="29"/>
        <v>0</v>
      </c>
    </row>
    <row r="178" spans="1:22" ht="57" x14ac:dyDescent="0.2">
      <c r="A178" s="4" t="str">
        <f>Questions!$A178</f>
        <v>HFIH-02</v>
      </c>
      <c r="B178" s="4" t="str">
        <f t="shared" si="30"/>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Evaluation'!$A$56:$K$346,3,0)&amp;""</f>
        <v>Yes</v>
      </c>
      <c r="G178" s="4" t="str">
        <f>VLOOKUP($A178,'Institution Evaluation'!$A$56:$K$346,7,0)&amp;""</f>
        <v>Yes</v>
      </c>
      <c r="H178" s="4" t="str">
        <f>VLOOKUP($A178,'Institution Evaluation'!$A$56:$K$346,8,0)&amp;""</f>
        <v/>
      </c>
      <c r="I178" s="4" t="str">
        <f>VLOOKUP($A178,'Institution Evaluation'!$A$56:$K$346,9,0)&amp;""</f>
        <v>Minor Importance</v>
      </c>
      <c r="J178" s="4" t="str">
        <f>VLOOKUP($A178,'Institution Evaluation'!$A$56:$K$346,10,0)&amp;""</f>
        <v/>
      </c>
      <c r="K178" s="4">
        <f t="shared" si="31"/>
        <v>5</v>
      </c>
      <c r="L178" s="108">
        <f>IF($E178="Not Scored", "N/A",IF(AND($D178='Auto Responses'!$J$27,$H178=""),"N/A",IF(AND($D178='Auto Responses'!$J$27,$H178='Auto Responses'!$J$7),1,IF(AND($D178='Auto Responses'!$J$27,$H178='Auto Responses'!$J$8),0,IF(OR($F178=$G178,$H178='Auto Responses'!$J$7),1,0)))))</f>
        <v>1</v>
      </c>
      <c r="M178" s="4" t="str">
        <f>VLOOKUP($A178,'Institution Evaluation'!$A$56:$K$346,10,0)&amp;""</f>
        <v/>
      </c>
      <c r="N178" s="4">
        <f t="shared" si="32"/>
        <v>0</v>
      </c>
      <c r="O178" s="108">
        <f t="shared" ref="O178:O180" si="39">IF(OR($F$17="No",$E178="Not Scored"),"N/A",IF($J178="",$K178,IF($J178="Minor Importance",5,IF($J178="Standard Importance",10,IF($J178="Critical Importance",20,0)))))</f>
        <v>5</v>
      </c>
      <c r="P178" s="108">
        <f t="shared" si="34"/>
        <v>5</v>
      </c>
      <c r="Q178" s="108">
        <f t="shared" si="26"/>
        <v>0</v>
      </c>
      <c r="R178" s="108">
        <f t="shared" si="35"/>
        <v>0</v>
      </c>
      <c r="S178" s="108">
        <f t="shared" si="27"/>
        <v>0</v>
      </c>
      <c r="T178" s="108">
        <f t="shared" si="28"/>
        <v>0</v>
      </c>
      <c r="U178" s="108">
        <f t="shared" si="36"/>
        <v>53</v>
      </c>
      <c r="V178" s="108">
        <f t="shared" si="29"/>
        <v>0</v>
      </c>
    </row>
    <row r="179" spans="1:22" ht="57" x14ac:dyDescent="0.2">
      <c r="A179" s="4" t="str">
        <f>Questions!$A179</f>
        <v>HFIH-03</v>
      </c>
      <c r="B179" s="4" t="str">
        <f t="shared" si="30"/>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Evaluation'!$A$56:$K$346,3,0)&amp;""</f>
        <v>Yes</v>
      </c>
      <c r="G179" s="4" t="str">
        <f>VLOOKUP($A179,'Institution Evaluation'!$A$56:$K$346,7,0)&amp;""</f>
        <v>Yes</v>
      </c>
      <c r="H179" s="4" t="str">
        <f>VLOOKUP($A179,'Institution Evaluation'!$A$56:$K$346,8,0)&amp;""</f>
        <v/>
      </c>
      <c r="I179" s="4" t="str">
        <f>VLOOKUP($A179,'Institution Evaluation'!$A$56:$K$346,9,0)&amp;""</f>
        <v>Minor Importance</v>
      </c>
      <c r="J179" s="4" t="str">
        <f>VLOOKUP($A179,'Institution Evaluation'!$A$56:$K$346,10,0)&amp;""</f>
        <v/>
      </c>
      <c r="K179" s="4">
        <f t="shared" si="31"/>
        <v>5</v>
      </c>
      <c r="L179" s="108">
        <f>IF($E179="Not Scored", "N/A",IF(AND($D179='Auto Responses'!$J$27,$H179=""),"N/A",IF(AND($D179='Auto Responses'!$J$27,$H179='Auto Responses'!$J$7),1,IF(AND($D179='Auto Responses'!$J$27,$H179='Auto Responses'!$J$8),0,IF(OR($F179=$G179,$H179='Auto Responses'!$J$7),1,0)))))</f>
        <v>1</v>
      </c>
      <c r="M179" s="4" t="str">
        <f>VLOOKUP($A179,'Institution Evaluation'!$A$56:$K$346,10,0)&amp;""</f>
        <v/>
      </c>
      <c r="N179" s="4">
        <f t="shared" si="32"/>
        <v>0</v>
      </c>
      <c r="O179" s="108">
        <f t="shared" si="39"/>
        <v>5</v>
      </c>
      <c r="P179" s="108">
        <f t="shared" si="34"/>
        <v>5</v>
      </c>
      <c r="Q179" s="108">
        <f t="shared" si="26"/>
        <v>0</v>
      </c>
      <c r="R179" s="108">
        <f t="shared" si="35"/>
        <v>0</v>
      </c>
      <c r="S179" s="108">
        <f t="shared" si="27"/>
        <v>0</v>
      </c>
      <c r="T179" s="108">
        <f t="shared" si="28"/>
        <v>0</v>
      </c>
      <c r="U179" s="108">
        <f t="shared" si="36"/>
        <v>53</v>
      </c>
      <c r="V179" s="108">
        <f t="shared" si="29"/>
        <v>0</v>
      </c>
    </row>
    <row r="180" spans="1:22" ht="57" x14ac:dyDescent="0.2">
      <c r="A180" s="4" t="str">
        <f>Questions!$A180</f>
        <v>HFIH-04</v>
      </c>
      <c r="B180" s="4" t="str">
        <f t="shared" si="30"/>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Evaluation'!$A$56:$K$346,3,0)&amp;""</f>
        <v>Yes</v>
      </c>
      <c r="G180" s="4" t="str">
        <f>VLOOKUP($A180,'Institution Evaluation'!$A$56:$K$346,7,0)&amp;""</f>
        <v>Yes</v>
      </c>
      <c r="H180" s="4" t="str">
        <f>VLOOKUP($A180,'Institution Evaluation'!$A$56:$K$346,8,0)&amp;""</f>
        <v/>
      </c>
      <c r="I180" s="4" t="str">
        <f>VLOOKUP($A180,'Institution Evaluation'!$A$56:$K$346,9,0)&amp;""</f>
        <v>Minor Importance</v>
      </c>
      <c r="J180" s="4" t="str">
        <f>VLOOKUP($A180,'Institution Evaluation'!$A$56:$K$346,10,0)&amp;""</f>
        <v/>
      </c>
      <c r="K180" s="4">
        <f t="shared" si="31"/>
        <v>5</v>
      </c>
      <c r="L180" s="108">
        <f>IF($E180="Not Scored", "N/A",IF(AND($D180='Auto Responses'!$J$27,$H180=""),"N/A",IF(AND($D180='Auto Responses'!$J$27,$H180='Auto Responses'!$J$7),1,IF(AND($D180='Auto Responses'!$J$27,$H180='Auto Responses'!$J$8),0,IF(OR($F180=$G180,$H180='Auto Responses'!$J$7),1,0)))))</f>
        <v>1</v>
      </c>
      <c r="M180" s="4" t="str">
        <f>VLOOKUP($A180,'Institution Evaluation'!$A$56:$K$346,10,0)&amp;""</f>
        <v/>
      </c>
      <c r="N180" s="4">
        <f t="shared" si="32"/>
        <v>0</v>
      </c>
      <c r="O180" s="108">
        <f t="shared" si="39"/>
        <v>5</v>
      </c>
      <c r="P180" s="108">
        <f t="shared" si="34"/>
        <v>5</v>
      </c>
      <c r="Q180" s="108">
        <f t="shared" si="26"/>
        <v>0</v>
      </c>
      <c r="R180" s="108">
        <f t="shared" si="35"/>
        <v>0</v>
      </c>
      <c r="S180" s="108">
        <f t="shared" si="27"/>
        <v>0</v>
      </c>
      <c r="T180" s="108">
        <f t="shared" si="28"/>
        <v>0</v>
      </c>
      <c r="U180" s="108">
        <f t="shared" si="36"/>
        <v>53</v>
      </c>
      <c r="V180" s="108">
        <f t="shared" si="29"/>
        <v>0</v>
      </c>
    </row>
    <row r="181" spans="1:22" ht="57" x14ac:dyDescent="0.2">
      <c r="A181" s="4" t="str">
        <f>Questions!$A181</f>
        <v>VULN-01</v>
      </c>
      <c r="B181" s="4" t="str">
        <f t="shared" si="30"/>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Evaluation'!$A$56:$K$346,3,0)&amp;""</f>
        <v>Yes</v>
      </c>
      <c r="G181" s="4" t="str">
        <f>VLOOKUP($A181,'Institution Evaluation'!$A$56:$K$346,7,0)&amp;""</f>
        <v>Yes</v>
      </c>
      <c r="H181" s="4" t="str">
        <f>VLOOKUP($A181,'Institution Evaluation'!$A$56:$K$346,8,0)&amp;""</f>
        <v/>
      </c>
      <c r="I181" s="4" t="str">
        <f>VLOOKUP($A181,'Institution Evaluation'!$A$56:$K$346,9,0)&amp;""</f>
        <v>Critical Importance</v>
      </c>
      <c r="J181" s="4" t="str">
        <f>VLOOKUP($A181,'Institution Evaluation'!$A$56:$K$346,10,0)&amp;""</f>
        <v/>
      </c>
      <c r="K181" s="4">
        <f t="shared" si="31"/>
        <v>20</v>
      </c>
      <c r="L181" s="108">
        <f>IF($E181="Not Scored", "N/A",IF(AND($D181='Auto Responses'!$J$27,$H181=""),"N/A",IF(AND($D181='Auto Responses'!$J$27,$H181='Auto Responses'!$J$7),1,IF(AND($D181='Auto Responses'!$J$27,$H181='Auto Responses'!$J$8),0,IF(OR($F181=$G181,$H181='Auto Responses'!$J$7),1,0)))))</f>
        <v>1</v>
      </c>
      <c r="M181" s="4" t="str">
        <f>VLOOKUP($A181,'Institution Evaluation'!$A$56:$K$346,10,0)&amp;""</f>
        <v/>
      </c>
      <c r="N181" s="4">
        <f t="shared" si="32"/>
        <v>1</v>
      </c>
      <c r="O181" s="108">
        <f>IF(OR($F$17="No",$E181="Not Scored"),"N/A",IF($J181="",$K181,IF($J181="Minor Importance",5,IF($J181="Standard Importance",10,IF($J181="Critical Importance",20,0)))))</f>
        <v>20</v>
      </c>
      <c r="P181" s="108">
        <f t="shared" si="34"/>
        <v>20</v>
      </c>
      <c r="Q181" s="108">
        <f t="shared" si="26"/>
        <v>0</v>
      </c>
      <c r="R181" s="108">
        <f t="shared" si="35"/>
        <v>0</v>
      </c>
      <c r="S181" s="108">
        <f t="shared" si="27"/>
        <v>0</v>
      </c>
      <c r="T181" s="108">
        <f t="shared" si="28"/>
        <v>1</v>
      </c>
      <c r="U181" s="108">
        <f t="shared" si="36"/>
        <v>54</v>
      </c>
      <c r="V181" s="108">
        <f t="shared" si="29"/>
        <v>54</v>
      </c>
    </row>
    <row r="182" spans="1:22" ht="57" x14ac:dyDescent="0.2">
      <c r="A182" s="4" t="str">
        <f>Questions!$A182</f>
        <v>VULN-02</v>
      </c>
      <c r="B182" s="4" t="str">
        <f t="shared" si="30"/>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Evaluation'!$A$56:$K$346,3,0)&amp;""</f>
        <v>Yes</v>
      </c>
      <c r="G182" s="4" t="str">
        <f>VLOOKUP($A182,'Institution Evaluation'!$A$56:$K$346,7,0)&amp;""</f>
        <v>Yes</v>
      </c>
      <c r="H182" s="4" t="str">
        <f>VLOOKUP($A182,'Institution Evaluation'!$A$56:$K$346,8,0)&amp;""</f>
        <v/>
      </c>
      <c r="I182" s="4" t="str">
        <f>VLOOKUP($A182,'Institution Evaluation'!$A$56:$K$346,9,0)&amp;""</f>
        <v>Critical Importance</v>
      </c>
      <c r="J182" s="4" t="str">
        <f>VLOOKUP($A182,'Institution Evaluation'!$A$56:$K$346,10,0)&amp;""</f>
        <v/>
      </c>
      <c r="K182" s="4">
        <f t="shared" si="31"/>
        <v>20</v>
      </c>
      <c r="L182" s="108">
        <f>IF($E182="Not Scored", "N/A",IF(AND($D182='Auto Responses'!$J$27,$H182=""),"N/A",IF(AND($D182='Auto Responses'!$J$27,$H182='Auto Responses'!$J$7),1,IF(AND($D182='Auto Responses'!$J$27,$H182='Auto Responses'!$J$8),0,IF(OR($F182=$G182,$H182='Auto Responses'!$J$7),1,0)))))</f>
        <v>1</v>
      </c>
      <c r="M182" s="4" t="str">
        <f>VLOOKUP($A182,'Institution Evaluation'!$A$56:$K$346,10,0)&amp;""</f>
        <v/>
      </c>
      <c r="N182" s="4">
        <f t="shared" si="32"/>
        <v>1</v>
      </c>
      <c r="O182" s="108">
        <f t="shared" ref="O182:O186" si="40">IF(OR($F$17="No",$E182="Not Scored"),"N/A",IF($J182="",$K182,IF($J182="Minor Importance",5,IF($J182="Standard Importance",10,IF($J182="Critical Importance",20,0)))))</f>
        <v>20</v>
      </c>
      <c r="P182" s="108">
        <f t="shared" si="34"/>
        <v>20</v>
      </c>
      <c r="Q182" s="108">
        <f t="shared" si="26"/>
        <v>0</v>
      </c>
      <c r="R182" s="108">
        <f t="shared" si="35"/>
        <v>0</v>
      </c>
      <c r="S182" s="108">
        <f t="shared" si="27"/>
        <v>0</v>
      </c>
      <c r="T182" s="108">
        <f t="shared" si="28"/>
        <v>1</v>
      </c>
      <c r="U182" s="108">
        <f t="shared" si="36"/>
        <v>55</v>
      </c>
      <c r="V182" s="108">
        <f t="shared" si="29"/>
        <v>55</v>
      </c>
    </row>
    <row r="183" spans="1:22" ht="57" x14ac:dyDescent="0.2">
      <c r="A183" s="4" t="str">
        <f>Questions!$A183</f>
        <v>VULN-03</v>
      </c>
      <c r="B183" s="4" t="str">
        <f t="shared" si="30"/>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Evaluation'!$A$56:$K$346,3,0)&amp;""</f>
        <v>Yes</v>
      </c>
      <c r="G183" s="4" t="str">
        <f>VLOOKUP($A183,'Institution Evaluation'!$A$56:$K$346,7,0)&amp;""</f>
        <v>Yes</v>
      </c>
      <c r="H183" s="4" t="str">
        <f>VLOOKUP($A183,'Institution Evaluation'!$A$56:$K$346,8,0)&amp;""</f>
        <v/>
      </c>
      <c r="I183" s="4" t="str">
        <f>VLOOKUP($A183,'Institution Evaluation'!$A$56:$K$346,9,0)&amp;""</f>
        <v>Critical Importance</v>
      </c>
      <c r="J183" s="4" t="str">
        <f>VLOOKUP($A183,'Institution Evaluation'!$A$56:$K$346,10,0)&amp;""</f>
        <v/>
      </c>
      <c r="K183" s="4">
        <f t="shared" si="31"/>
        <v>20</v>
      </c>
      <c r="L183" s="108">
        <f>IF($E183="Not Scored", "N/A",IF(AND($D183='Auto Responses'!$J$27,$H183=""),"N/A",IF(AND($D183='Auto Responses'!$J$27,$H183='Auto Responses'!$J$7),1,IF(AND($D183='Auto Responses'!$J$27,$H183='Auto Responses'!$J$8),0,IF(OR($F183=$G183,$H183='Auto Responses'!$J$7),1,0)))))</f>
        <v>1</v>
      </c>
      <c r="M183" s="4" t="str">
        <f>VLOOKUP($A183,'Institution Evaluation'!$A$56:$K$346,10,0)&amp;""</f>
        <v/>
      </c>
      <c r="N183" s="4">
        <f t="shared" si="32"/>
        <v>1</v>
      </c>
      <c r="O183" s="108">
        <f t="shared" si="40"/>
        <v>20</v>
      </c>
      <c r="P183" s="108">
        <f t="shared" si="34"/>
        <v>20</v>
      </c>
      <c r="Q183" s="108">
        <f t="shared" si="26"/>
        <v>0</v>
      </c>
      <c r="R183" s="108">
        <f t="shared" si="35"/>
        <v>0</v>
      </c>
      <c r="S183" s="108">
        <f t="shared" si="27"/>
        <v>0</v>
      </c>
      <c r="T183" s="108">
        <f t="shared" si="28"/>
        <v>1</v>
      </c>
      <c r="U183" s="108">
        <f t="shared" si="36"/>
        <v>56</v>
      </c>
      <c r="V183" s="108">
        <f t="shared" si="29"/>
        <v>56</v>
      </c>
    </row>
    <row r="184" spans="1:22" ht="57" x14ac:dyDescent="0.2">
      <c r="A184" s="4" t="str">
        <f>Questions!$A184</f>
        <v>VULN-04</v>
      </c>
      <c r="B184" s="4" t="str">
        <f t="shared" si="30"/>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Evaluation'!$A$56:$K$346,3,0)&amp;""</f>
        <v>Yes</v>
      </c>
      <c r="G184" s="4" t="str">
        <f>VLOOKUP($A184,'Institution Evaluation'!$A$56:$K$346,7,0)&amp;""</f>
        <v>Yes</v>
      </c>
      <c r="H184" s="4" t="str">
        <f>VLOOKUP($A184,'Institution Evaluation'!$A$56:$K$346,8,0)&amp;""</f>
        <v/>
      </c>
      <c r="I184" s="4" t="str">
        <f>VLOOKUP($A184,'Institution Evaluation'!$A$56:$K$346,9,0)&amp;""</f>
        <v>Standard Importance</v>
      </c>
      <c r="J184" s="4" t="str">
        <f>VLOOKUP($A184,'Institution Evaluation'!$A$56:$K$346,10,0)&amp;""</f>
        <v/>
      </c>
      <c r="K184" s="4">
        <f t="shared" si="31"/>
        <v>10</v>
      </c>
      <c r="L184" s="108">
        <f>IF($E184="Not Scored", "N/A",IF(AND($D184='Auto Responses'!$J$27,$H184=""),"N/A",IF(AND($D184='Auto Responses'!$J$27,$H184='Auto Responses'!$J$7),1,IF(AND($D184='Auto Responses'!$J$27,$H184='Auto Responses'!$J$8),0,IF(OR($F184=$G184,$H184='Auto Responses'!$J$7),1,0)))))</f>
        <v>1</v>
      </c>
      <c r="M184" s="4" t="str">
        <f>VLOOKUP($A184,'Institution Evaluation'!$A$56:$K$346,10,0)&amp;""</f>
        <v/>
      </c>
      <c r="N184" s="4">
        <f t="shared" si="32"/>
        <v>0</v>
      </c>
      <c r="O184" s="108">
        <f t="shared" si="40"/>
        <v>10</v>
      </c>
      <c r="P184" s="108">
        <f t="shared" si="34"/>
        <v>10</v>
      </c>
      <c r="Q184" s="108">
        <f t="shared" si="26"/>
        <v>0</v>
      </c>
      <c r="R184" s="108">
        <f t="shared" si="35"/>
        <v>0</v>
      </c>
      <c r="S184" s="108">
        <f t="shared" si="27"/>
        <v>0</v>
      </c>
      <c r="T184" s="108">
        <f t="shared" si="28"/>
        <v>0</v>
      </c>
      <c r="U184" s="108">
        <f t="shared" si="36"/>
        <v>56</v>
      </c>
      <c r="V184" s="108">
        <f t="shared" si="29"/>
        <v>0</v>
      </c>
    </row>
    <row r="185" spans="1:22" ht="57" x14ac:dyDescent="0.2">
      <c r="A185" s="4" t="str">
        <f>Questions!$A185</f>
        <v>VULN-05</v>
      </c>
      <c r="B185" s="4" t="str">
        <f t="shared" si="30"/>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Evaluation'!$A$56:$K$346,3,0)&amp;""</f>
        <v>Yes</v>
      </c>
      <c r="G185" s="4" t="str">
        <f>VLOOKUP($A185,'Institution Evaluation'!$A$56:$K$346,7,0)&amp;""</f>
        <v>Yes</v>
      </c>
      <c r="H185" s="4" t="str">
        <f>VLOOKUP($A185,'Institution Evaluation'!$A$56:$K$346,8,0)&amp;""</f>
        <v/>
      </c>
      <c r="I185" s="4" t="str">
        <f>VLOOKUP($A185,'Institution Evaluation'!$A$56:$K$346,9,0)&amp;""</f>
        <v>Standard Importance</v>
      </c>
      <c r="J185" s="4" t="str">
        <f>VLOOKUP($A185,'Institution Evaluation'!$A$56:$K$346,10,0)&amp;""</f>
        <v/>
      </c>
      <c r="K185" s="4">
        <f t="shared" si="31"/>
        <v>10</v>
      </c>
      <c r="L185" s="108">
        <f>IF($E185="Not Scored", "N/A",IF(AND($D185='Auto Responses'!$J$27,$H185=""),"N/A",IF(AND($D185='Auto Responses'!$J$27,$H185='Auto Responses'!$J$7),1,IF(AND($D185='Auto Responses'!$J$27,$H185='Auto Responses'!$J$8),0,IF(OR($F185=$G185,$H185='Auto Responses'!$J$7),1,0)))))</f>
        <v>1</v>
      </c>
      <c r="M185" s="4" t="str">
        <f>VLOOKUP($A185,'Institution Evaluation'!$A$56:$K$346,10,0)&amp;""</f>
        <v/>
      </c>
      <c r="N185" s="4">
        <f t="shared" si="32"/>
        <v>0</v>
      </c>
      <c r="O185" s="108">
        <f t="shared" si="40"/>
        <v>10</v>
      </c>
      <c r="P185" s="108">
        <f t="shared" si="34"/>
        <v>10</v>
      </c>
      <c r="Q185" s="108">
        <f t="shared" si="26"/>
        <v>0</v>
      </c>
      <c r="R185" s="108">
        <f t="shared" si="35"/>
        <v>0</v>
      </c>
      <c r="S185" s="108">
        <f t="shared" si="27"/>
        <v>0</v>
      </c>
      <c r="T185" s="108">
        <f t="shared" si="28"/>
        <v>0</v>
      </c>
      <c r="U185" s="108">
        <f t="shared" si="36"/>
        <v>56</v>
      </c>
      <c r="V185" s="108">
        <f t="shared" si="29"/>
        <v>0</v>
      </c>
    </row>
    <row r="186" spans="1:22" ht="57" x14ac:dyDescent="0.2">
      <c r="A186" s="4" t="str">
        <f>Questions!$A186</f>
        <v>VULN-06</v>
      </c>
      <c r="B186" s="4" t="str">
        <f t="shared" si="30"/>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Evaluation'!$A$56:$K$346,3,0)&amp;""</f>
        <v>Yes</v>
      </c>
      <c r="G186" s="4" t="str">
        <f>VLOOKUP($A186,'Institution Evaluation'!$A$56:$K$346,7,0)&amp;""</f>
        <v>Yes</v>
      </c>
      <c r="H186" s="4" t="str">
        <f>VLOOKUP($A186,'Institution Evaluation'!$A$56:$K$346,8,0)&amp;""</f>
        <v/>
      </c>
      <c r="I186" s="4" t="str">
        <f>VLOOKUP($A186,'Institution Evaluation'!$A$56:$K$346,9,0)&amp;""</f>
        <v>Minor Importance</v>
      </c>
      <c r="J186" s="4" t="str">
        <f>VLOOKUP($A186,'Institution Evaluation'!$A$56:$K$346,10,0)&amp;""</f>
        <v/>
      </c>
      <c r="K186" s="4">
        <f t="shared" si="31"/>
        <v>5</v>
      </c>
      <c r="L186" s="108">
        <f>IF($E186="Not Scored", "N/A",IF(AND($D186='Auto Responses'!$J$27,$H186=""),"N/A",IF(AND($D186='Auto Responses'!$J$27,$H186='Auto Responses'!$J$7),1,IF(AND($D186='Auto Responses'!$J$27,$H186='Auto Responses'!$J$8),0,IF(OR($F186=$G186,$H186='Auto Responses'!$J$7),1,0)))))</f>
        <v>1</v>
      </c>
      <c r="M186" s="4" t="str">
        <f>VLOOKUP($A186,'Institution Evaluation'!$A$56:$K$346,10,0)&amp;""</f>
        <v/>
      </c>
      <c r="N186" s="4">
        <f t="shared" si="32"/>
        <v>0</v>
      </c>
      <c r="O186" s="108">
        <f t="shared" si="40"/>
        <v>5</v>
      </c>
      <c r="P186" s="108">
        <f t="shared" si="34"/>
        <v>5</v>
      </c>
      <c r="Q186" s="108">
        <f t="shared" si="26"/>
        <v>0</v>
      </c>
      <c r="R186" s="108">
        <f t="shared" si="35"/>
        <v>0</v>
      </c>
      <c r="S186" s="108">
        <f t="shared" si="27"/>
        <v>0</v>
      </c>
      <c r="T186" s="108">
        <f t="shared" si="28"/>
        <v>0</v>
      </c>
      <c r="U186" s="108">
        <f t="shared" si="36"/>
        <v>56</v>
      </c>
      <c r="V186" s="108">
        <f t="shared" si="29"/>
        <v>0</v>
      </c>
    </row>
    <row r="187" spans="1:22" ht="57" x14ac:dyDescent="0.2">
      <c r="A187" s="4" t="str">
        <f>Questions!$A187</f>
        <v>HIPA-01</v>
      </c>
      <c r="B187" s="4" t="str">
        <f t="shared" si="30"/>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Evaluation'!$A$56:$K$346,3,0)&amp;""</f>
        <v/>
      </c>
      <c r="G187" s="4" t="str">
        <f>VLOOKUP($A187,'Institution Evaluation'!$A$56:$K$346,7,0)&amp;""</f>
        <v>Yes</v>
      </c>
      <c r="H187" s="4" t="str">
        <f>VLOOKUP($A187,'Institution Evaluation'!$A$56:$K$346,8,0)&amp;""</f>
        <v/>
      </c>
      <c r="I187" s="4" t="str">
        <f>VLOOKUP($A187,'Institution Evaluation'!$A$56:$K$346,9,0)&amp;""</f>
        <v>Critical Importance</v>
      </c>
      <c r="J187" s="4" t="str">
        <f>VLOOKUP($A187,'Institution Evaluation'!$A$56:$K$346,10,0)&amp;""</f>
        <v/>
      </c>
      <c r="K187" s="4">
        <f t="shared" si="31"/>
        <v>20</v>
      </c>
      <c r="L187" s="108">
        <f>IF($E187="Not Scored", "N/A",IF(AND($D187='Auto Responses'!$J$27,$H187=""),"N/A",IF(AND($D187='Auto Responses'!$J$27,$H187='Auto Responses'!$J$7),1,IF(AND($D187='Auto Responses'!$J$27,$H187='Auto Responses'!$J$8),0,IF(OR($F187=$G187,$H187='Auto Responses'!$J$7),1,0)))))</f>
        <v>0</v>
      </c>
      <c r="M187" s="4" t="str">
        <f>VLOOKUP($A187,'Institution Evaluation'!$A$56:$K$346,10,0)&amp;""</f>
        <v/>
      </c>
      <c r="N187" s="4">
        <f t="shared" si="32"/>
        <v>1</v>
      </c>
      <c r="O187" s="108" t="str">
        <f>IF(OR($F$21="No",$E187="Not Scored"),"N/A",IF($J187="",$K187,IF($J187="Minor Importance",5,IF($J187="Standard Importance",10,IF($J187="Critical Importance",20,0)))))</f>
        <v>N/A</v>
      </c>
      <c r="P187" s="108" t="str">
        <f t="shared" si="34"/>
        <v>N/A</v>
      </c>
      <c r="Q187" s="108">
        <f t="shared" si="26"/>
        <v>0</v>
      </c>
      <c r="R187" s="108">
        <f t="shared" si="35"/>
        <v>0</v>
      </c>
      <c r="S187" s="108">
        <f t="shared" si="27"/>
        <v>0</v>
      </c>
      <c r="T187" s="108">
        <f t="shared" si="28"/>
        <v>1</v>
      </c>
      <c r="U187" s="108">
        <f t="shared" si="36"/>
        <v>57</v>
      </c>
      <c r="V187" s="108">
        <f t="shared" si="29"/>
        <v>57</v>
      </c>
    </row>
    <row r="188" spans="1:22" ht="57" x14ac:dyDescent="0.2">
      <c r="A188" s="4" t="str">
        <f>Questions!$A188</f>
        <v>HIPA-02</v>
      </c>
      <c r="B188" s="4" t="str">
        <f t="shared" si="30"/>
        <v>HIPA</v>
      </c>
      <c r="C188" s="4" t="str">
        <f>VLOOKUP($A188,Questions!$A$3:$L$333,2,0)&amp;""</f>
        <v>Have you identified areas of risk?*</v>
      </c>
      <c r="D188" s="4" t="str">
        <f>VLOOKUP($A188,Questions!$A$3:$L$333,11,0)&amp;""</f>
        <v/>
      </c>
      <c r="E188" s="4" t="str">
        <f>VLOOKUP($A188,Questions!$A$3:$L$333,12,0)&amp;""</f>
        <v>Case-specific</v>
      </c>
      <c r="F188" s="4" t="str">
        <f>VLOOKUP($A188,'Institution Evaluation'!$A$56:$K$346,3,0)&amp;""</f>
        <v/>
      </c>
      <c r="G188" s="4" t="str">
        <f>VLOOKUP($A188,'Institution Evaluation'!$A$56:$K$346,7,0)&amp;""</f>
        <v>Yes</v>
      </c>
      <c r="H188" s="4" t="str">
        <f>VLOOKUP($A188,'Institution Evaluation'!$A$56:$K$346,8,0)&amp;""</f>
        <v/>
      </c>
      <c r="I188" s="4" t="str">
        <f>VLOOKUP($A188,'Institution Evaluation'!$A$56:$K$346,9,0)&amp;""</f>
        <v>Critical Importance</v>
      </c>
      <c r="J188" s="4" t="str">
        <f>VLOOKUP($A188,'Institution Evaluation'!$A$56:$K$346,10,0)&amp;""</f>
        <v/>
      </c>
      <c r="K188" s="4">
        <f t="shared" si="31"/>
        <v>20</v>
      </c>
      <c r="L188" s="108">
        <f>IF($E188="Not Scored", "N/A",IF(AND($D188='Auto Responses'!$J$27,$H188=""),"N/A",IF(AND($D188='Auto Responses'!$J$27,$H188='Auto Responses'!$J$7),1,IF(AND($D188='Auto Responses'!$J$27,$H188='Auto Responses'!$J$8),0,IF(OR($F188=$G188,$H188='Auto Responses'!$J$7),1,0)))))</f>
        <v>0</v>
      </c>
      <c r="M188" s="4" t="str">
        <f>VLOOKUP($A188,'Institution Evaluation'!$A$56:$K$346,10,0)&amp;""</f>
        <v/>
      </c>
      <c r="N188" s="4">
        <f t="shared" si="32"/>
        <v>1</v>
      </c>
      <c r="O188" s="108" t="str">
        <f t="shared" ref="O188:O215" si="41">IF(OR($F$21="No",$E188="Not Scored"),"N/A",IF($J188="",$K188,IF($J188="Minor Importance",5,IF($J188="Standard Importance",10,IF($J188="Critical Importance",20,0)))))</f>
        <v>N/A</v>
      </c>
      <c r="P188" s="108" t="str">
        <f t="shared" si="34"/>
        <v>N/A</v>
      </c>
      <c r="Q188" s="108">
        <f t="shared" si="26"/>
        <v>0</v>
      </c>
      <c r="R188" s="108">
        <f t="shared" si="35"/>
        <v>0</v>
      </c>
      <c r="S188" s="108">
        <f t="shared" si="27"/>
        <v>0</v>
      </c>
      <c r="T188" s="108">
        <f t="shared" si="28"/>
        <v>1</v>
      </c>
      <c r="U188" s="108">
        <f t="shared" si="36"/>
        <v>58</v>
      </c>
      <c r="V188" s="108">
        <f t="shared" si="29"/>
        <v>58</v>
      </c>
    </row>
    <row r="189" spans="1:22" ht="57" x14ac:dyDescent="0.2">
      <c r="A189" s="4" t="str">
        <f>Questions!$A189</f>
        <v>HIPA-03</v>
      </c>
      <c r="B189" s="4" t="str">
        <f t="shared" si="30"/>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Evaluation'!$A$56:$K$346,3,0)&amp;""</f>
        <v/>
      </c>
      <c r="G189" s="4" t="str">
        <f>VLOOKUP($A189,'Institution Evaluation'!$A$56:$K$346,7,0)&amp;""</f>
        <v>Yes</v>
      </c>
      <c r="H189" s="4" t="str">
        <f>VLOOKUP($A189,'Institution Evaluation'!$A$56:$K$346,8,0)&amp;""</f>
        <v/>
      </c>
      <c r="I189" s="4" t="str">
        <f>VLOOKUP($A189,'Institution Evaluation'!$A$56:$K$346,9,0)&amp;""</f>
        <v>Critical Importance</v>
      </c>
      <c r="J189" s="4" t="str">
        <f>VLOOKUP($A189,'Institution Evaluation'!$A$56:$K$346,10,0)&amp;""</f>
        <v/>
      </c>
      <c r="K189" s="4">
        <f t="shared" si="31"/>
        <v>20</v>
      </c>
      <c r="L189" s="108">
        <f>IF($E189="Not Scored", "N/A",IF(AND($D189='Auto Responses'!$J$27,$H189=""),"N/A",IF(AND($D189='Auto Responses'!$J$27,$H189='Auto Responses'!$J$7),1,IF(AND($D189='Auto Responses'!$J$27,$H189='Auto Responses'!$J$8),0,IF(OR($F189=$G189,$H189='Auto Responses'!$J$7),1,0)))))</f>
        <v>0</v>
      </c>
      <c r="M189" s="4" t="str">
        <f>VLOOKUP($A189,'Institution Evaluation'!$A$56:$K$346,10,0)&amp;""</f>
        <v/>
      </c>
      <c r="N189" s="4">
        <f t="shared" si="32"/>
        <v>1</v>
      </c>
      <c r="O189" s="108" t="str">
        <f t="shared" si="41"/>
        <v>N/A</v>
      </c>
      <c r="P189" s="108" t="str">
        <f t="shared" si="34"/>
        <v>N/A</v>
      </c>
      <c r="Q189" s="108">
        <f t="shared" si="26"/>
        <v>0</v>
      </c>
      <c r="R189" s="108">
        <f t="shared" si="35"/>
        <v>0</v>
      </c>
      <c r="S189" s="108">
        <f t="shared" si="27"/>
        <v>0</v>
      </c>
      <c r="T189" s="108">
        <f t="shared" si="28"/>
        <v>1</v>
      </c>
      <c r="U189" s="108">
        <f t="shared" si="36"/>
        <v>59</v>
      </c>
      <c r="V189" s="108">
        <f t="shared" si="29"/>
        <v>59</v>
      </c>
    </row>
    <row r="190" spans="1:22" ht="57" x14ac:dyDescent="0.2">
      <c r="A190" s="4" t="str">
        <f>Questions!$A190</f>
        <v>HIPA-04</v>
      </c>
      <c r="B190" s="4" t="str">
        <f t="shared" si="30"/>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Evaluation'!$A$56:$K$346,3,0)&amp;""</f>
        <v/>
      </c>
      <c r="G190" s="4" t="str">
        <f>VLOOKUP($A190,'Institution Evaluation'!$A$56:$K$346,7,0)&amp;""</f>
        <v>Yes</v>
      </c>
      <c r="H190" s="4" t="str">
        <f>VLOOKUP($A190,'Institution Evaluation'!$A$56:$K$346,8,0)&amp;""</f>
        <v/>
      </c>
      <c r="I190" s="4" t="str">
        <f>VLOOKUP($A190,'Institution Evaluation'!$A$56:$K$346,9,0)&amp;""</f>
        <v>Critical Importance</v>
      </c>
      <c r="J190" s="4" t="str">
        <f>VLOOKUP($A190,'Institution Evaluation'!$A$56:$K$346,10,0)&amp;""</f>
        <v/>
      </c>
      <c r="K190" s="4">
        <f t="shared" si="31"/>
        <v>20</v>
      </c>
      <c r="L190" s="108">
        <f>IF($E190="Not Scored", "N/A",IF(AND($D190='Auto Responses'!$J$27,$H190=""),"N/A",IF(AND($D190='Auto Responses'!$J$27,$H190='Auto Responses'!$J$7),1,IF(AND($D190='Auto Responses'!$J$27,$H190='Auto Responses'!$J$8),0,IF(OR($F190=$G190,$H190='Auto Responses'!$J$7),1,0)))))</f>
        <v>0</v>
      </c>
      <c r="M190" s="4" t="str">
        <f>VLOOKUP($A190,'Institution Evaluation'!$A$56:$K$346,10,0)&amp;""</f>
        <v/>
      </c>
      <c r="N190" s="4">
        <f t="shared" si="32"/>
        <v>1</v>
      </c>
      <c r="O190" s="108" t="str">
        <f t="shared" si="41"/>
        <v>N/A</v>
      </c>
      <c r="P190" s="108" t="str">
        <f t="shared" si="34"/>
        <v>N/A</v>
      </c>
      <c r="Q190" s="108">
        <f t="shared" ref="Q190:Q253" si="42">IF(M190="TRUE",1,0)</f>
        <v>0</v>
      </c>
      <c r="R190" s="108">
        <f t="shared" si="35"/>
        <v>0</v>
      </c>
      <c r="S190" s="108">
        <f t="shared" ref="S190:S253" si="43">IF(Q190=0,0,R190)</f>
        <v>0</v>
      </c>
      <c r="T190" s="108">
        <f t="shared" ref="T190:T253" si="44">IF(N190=1,1,0)</f>
        <v>1</v>
      </c>
      <c r="U190" s="108">
        <f t="shared" si="36"/>
        <v>60</v>
      </c>
      <c r="V190" s="108">
        <f t="shared" ref="V190:V253" si="45">IF(T190=0,0,U190)</f>
        <v>60</v>
      </c>
    </row>
    <row r="191" spans="1:22" ht="57" x14ac:dyDescent="0.2">
      <c r="A191" s="4" t="str">
        <f>Questions!$A191</f>
        <v>HIPA-05</v>
      </c>
      <c r="B191" s="4" t="str">
        <f t="shared" ref="B191:B254" si="46">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Evaluation'!$A$56:$K$346,3,0)&amp;""</f>
        <v/>
      </c>
      <c r="G191" s="4" t="str">
        <f>VLOOKUP($A191,'Institution Evaluation'!$A$56:$K$346,7,0)&amp;""</f>
        <v>Yes</v>
      </c>
      <c r="H191" s="4" t="str">
        <f>VLOOKUP($A191,'Institution Evaluation'!$A$56:$K$346,8,0)&amp;""</f>
        <v/>
      </c>
      <c r="I191" s="4" t="str">
        <f>VLOOKUP($A191,'Institution Evaluation'!$A$56:$K$346,9,0)&amp;""</f>
        <v>Standard Importance</v>
      </c>
      <c r="J191" s="4" t="str">
        <f>VLOOKUP($A191,'Institution Evaluation'!$A$56:$K$346,10,0)&amp;""</f>
        <v/>
      </c>
      <c r="K191" s="4">
        <f t="shared" ref="K191:K254" si="47">IF($I191="Critical Importance",20,IF($I191="Minor Importance",5,10))</f>
        <v>10</v>
      </c>
      <c r="L191" s="108">
        <f>IF($E191="Not Scored", "N/A",IF(AND($D191='Auto Responses'!$J$27,$H191=""),"N/A",IF(AND($D191='Auto Responses'!$J$27,$H191='Auto Responses'!$J$7),1,IF(AND($D191='Auto Responses'!$J$27,$H191='Auto Responses'!$J$8),0,IF(OR($F191=$G191,$H191='Auto Responses'!$J$7),1,0)))))</f>
        <v>0</v>
      </c>
      <c r="M191" s="4" t="str">
        <f>VLOOKUP($A191,'Institution Evaluation'!$A$56:$K$346,10,0)&amp;""</f>
        <v/>
      </c>
      <c r="N191" s="4">
        <f t="shared" ref="N191:N254" si="48">IF($J191="Critical Importance",1,IF(AND($J191="",$I191="Critical Importance"),1,0))</f>
        <v>0</v>
      </c>
      <c r="O191" s="108" t="str">
        <f t="shared" si="41"/>
        <v>N/A</v>
      </c>
      <c r="P191" s="108" t="str">
        <f t="shared" ref="P191:P254" si="49">IF(OR($O191="N/A",$L191="N/A"),"N/A",$O191*$L191)</f>
        <v>N/A</v>
      </c>
      <c r="Q191" s="108">
        <f t="shared" si="42"/>
        <v>0</v>
      </c>
      <c r="R191" s="108">
        <f t="shared" si="35"/>
        <v>0</v>
      </c>
      <c r="S191" s="108">
        <f t="shared" si="43"/>
        <v>0</v>
      </c>
      <c r="T191" s="108">
        <f t="shared" si="44"/>
        <v>0</v>
      </c>
      <c r="U191" s="108">
        <f t="shared" si="36"/>
        <v>60</v>
      </c>
      <c r="V191" s="108">
        <f t="shared" si="45"/>
        <v>0</v>
      </c>
    </row>
    <row r="192" spans="1:22" ht="57" x14ac:dyDescent="0.2">
      <c r="A192" s="4" t="str">
        <f>Questions!$A192</f>
        <v>HIPA-06</v>
      </c>
      <c r="B192" s="4" t="str">
        <f t="shared" si="46"/>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Evaluation'!$A$56:$K$346,3,0)&amp;""</f>
        <v/>
      </c>
      <c r="G192" s="4" t="str">
        <f>VLOOKUP($A192,'Institution Evaluation'!$A$56:$K$346,7,0)&amp;""</f>
        <v>Yes</v>
      </c>
      <c r="H192" s="4" t="str">
        <f>VLOOKUP($A192,'Institution Evaluation'!$A$56:$K$346,8,0)&amp;""</f>
        <v/>
      </c>
      <c r="I192" s="4" t="str">
        <f>VLOOKUP($A192,'Institution Evaluation'!$A$56:$K$346,9,0)&amp;""</f>
        <v>Standard Importance</v>
      </c>
      <c r="J192" s="4" t="str">
        <f>VLOOKUP($A192,'Institution Evaluation'!$A$56:$K$346,10,0)&amp;""</f>
        <v/>
      </c>
      <c r="K192" s="4">
        <f t="shared" si="47"/>
        <v>10</v>
      </c>
      <c r="L192" s="108">
        <f>IF($E192="Not Scored", "N/A",IF(AND($D192='Auto Responses'!$J$27,$H192=""),"N/A",IF(AND($D192='Auto Responses'!$J$27,$H192='Auto Responses'!$J$7),1,IF(AND($D192='Auto Responses'!$J$27,$H192='Auto Responses'!$J$8),0,IF(OR($F192=$G192,$H192='Auto Responses'!$J$7),1,0)))))</f>
        <v>0</v>
      </c>
      <c r="M192" s="4" t="str">
        <f>VLOOKUP($A192,'Institution Evaluation'!$A$56:$K$346,10,0)&amp;""</f>
        <v/>
      </c>
      <c r="N192" s="4">
        <f t="shared" si="48"/>
        <v>0</v>
      </c>
      <c r="O192" s="108" t="str">
        <f t="shared" si="41"/>
        <v>N/A</v>
      </c>
      <c r="P192" s="108" t="str">
        <f t="shared" si="49"/>
        <v>N/A</v>
      </c>
      <c r="Q192" s="108">
        <f t="shared" si="42"/>
        <v>0</v>
      </c>
      <c r="R192" s="108">
        <f t="shared" si="35"/>
        <v>0</v>
      </c>
      <c r="S192" s="108">
        <f t="shared" si="43"/>
        <v>0</v>
      </c>
      <c r="T192" s="108">
        <f t="shared" si="44"/>
        <v>0</v>
      </c>
      <c r="U192" s="108">
        <f t="shared" si="36"/>
        <v>60</v>
      </c>
      <c r="V192" s="108">
        <f t="shared" si="45"/>
        <v>0</v>
      </c>
    </row>
    <row r="193" spans="1:22" ht="57" x14ac:dyDescent="0.2">
      <c r="A193" s="4" t="str">
        <f>Questions!$A193</f>
        <v>HIPA-07</v>
      </c>
      <c r="B193" s="4" t="str">
        <f t="shared" si="46"/>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Evaluation'!$A$56:$K$346,3,0)&amp;""</f>
        <v/>
      </c>
      <c r="G193" s="4" t="str">
        <f>VLOOKUP($A193,'Institution Evaluation'!$A$56:$K$346,7,0)&amp;""</f>
        <v>Yes</v>
      </c>
      <c r="H193" s="4" t="str">
        <f>VLOOKUP($A193,'Institution Evaluation'!$A$56:$K$346,8,0)&amp;""</f>
        <v/>
      </c>
      <c r="I193" s="4" t="str">
        <f>VLOOKUP($A193,'Institution Evaluation'!$A$56:$K$346,9,0)&amp;""</f>
        <v>Standard Importance</v>
      </c>
      <c r="J193" s="4" t="str">
        <f>VLOOKUP($A193,'Institution Evaluation'!$A$56:$K$346,10,0)&amp;""</f>
        <v/>
      </c>
      <c r="K193" s="4">
        <f t="shared" si="47"/>
        <v>10</v>
      </c>
      <c r="L193" s="108">
        <f>IF($E193="Not Scored", "N/A",IF(AND($D193='Auto Responses'!$J$27,$H193=""),"N/A",IF(AND($D193='Auto Responses'!$J$27,$H193='Auto Responses'!$J$7),1,IF(AND($D193='Auto Responses'!$J$27,$H193='Auto Responses'!$J$8),0,IF(OR($F193=$G193,$H193='Auto Responses'!$J$7),1,0)))))</f>
        <v>0</v>
      </c>
      <c r="M193" s="4" t="str">
        <f>VLOOKUP($A193,'Institution Evaluation'!$A$56:$K$346,10,0)&amp;""</f>
        <v/>
      </c>
      <c r="N193" s="4">
        <f t="shared" si="48"/>
        <v>0</v>
      </c>
      <c r="O193" s="108" t="str">
        <f t="shared" si="41"/>
        <v>N/A</v>
      </c>
      <c r="P193" s="108" t="str">
        <f t="shared" si="49"/>
        <v>N/A</v>
      </c>
      <c r="Q193" s="108">
        <f t="shared" si="42"/>
        <v>0</v>
      </c>
      <c r="R193" s="108">
        <f t="shared" si="35"/>
        <v>0</v>
      </c>
      <c r="S193" s="108">
        <f t="shared" si="43"/>
        <v>0</v>
      </c>
      <c r="T193" s="108">
        <f t="shared" si="44"/>
        <v>0</v>
      </c>
      <c r="U193" s="108">
        <f t="shared" si="36"/>
        <v>60</v>
      </c>
      <c r="V193" s="108">
        <f t="shared" si="45"/>
        <v>0</v>
      </c>
    </row>
    <row r="194" spans="1:22" ht="57" x14ac:dyDescent="0.2">
      <c r="A194" s="4" t="str">
        <f>Questions!$A194</f>
        <v>HIPA-08</v>
      </c>
      <c r="B194" s="4" t="str">
        <f t="shared" si="46"/>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Evaluation'!$A$56:$K$346,3,0)&amp;""</f>
        <v/>
      </c>
      <c r="G194" s="4" t="str">
        <f>VLOOKUP($A194,'Institution Evaluation'!$A$56:$K$346,7,0)&amp;""</f>
        <v>Yes</v>
      </c>
      <c r="H194" s="4" t="str">
        <f>VLOOKUP($A194,'Institution Evaluation'!$A$56:$K$346,8,0)&amp;""</f>
        <v/>
      </c>
      <c r="I194" s="4" t="str">
        <f>VLOOKUP($A194,'Institution Evaluation'!$A$56:$K$346,9,0)&amp;""</f>
        <v>Standard Importance</v>
      </c>
      <c r="J194" s="4" t="str">
        <f>VLOOKUP($A194,'Institution Evaluation'!$A$56:$K$346,10,0)&amp;""</f>
        <v/>
      </c>
      <c r="K194" s="4">
        <f t="shared" si="47"/>
        <v>10</v>
      </c>
      <c r="L194" s="108">
        <f>IF($E194="Not Scored", "N/A",IF(AND($D194='Auto Responses'!$J$27,$H194=""),"N/A",IF(AND($D194='Auto Responses'!$J$27,$H194='Auto Responses'!$J$7),1,IF(AND($D194='Auto Responses'!$J$27,$H194='Auto Responses'!$J$8),0,IF(OR($F194=$G194,$H194='Auto Responses'!$J$7),1,0)))))</f>
        <v>0</v>
      </c>
      <c r="M194" s="4" t="str">
        <f>VLOOKUP($A194,'Institution Evaluation'!$A$56:$K$346,10,0)&amp;""</f>
        <v/>
      </c>
      <c r="N194" s="4">
        <f t="shared" si="48"/>
        <v>0</v>
      </c>
      <c r="O194" s="108" t="str">
        <f t="shared" si="41"/>
        <v>N/A</v>
      </c>
      <c r="P194" s="108" t="str">
        <f t="shared" si="49"/>
        <v>N/A</v>
      </c>
      <c r="Q194" s="108">
        <f t="shared" si="42"/>
        <v>0</v>
      </c>
      <c r="R194" s="108">
        <f t="shared" si="35"/>
        <v>0</v>
      </c>
      <c r="S194" s="108">
        <f t="shared" si="43"/>
        <v>0</v>
      </c>
      <c r="T194" s="108">
        <f t="shared" si="44"/>
        <v>0</v>
      </c>
      <c r="U194" s="108">
        <f t="shared" si="36"/>
        <v>60</v>
      </c>
      <c r="V194" s="108">
        <f t="shared" si="45"/>
        <v>0</v>
      </c>
    </row>
    <row r="195" spans="1:22" ht="57" x14ac:dyDescent="0.2">
      <c r="A195" s="4" t="str">
        <f>Questions!$A195</f>
        <v>HIPA-09</v>
      </c>
      <c r="B195" s="4" t="str">
        <f t="shared" si="46"/>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Evaluation'!$A$56:$K$346,3,0)&amp;""</f>
        <v/>
      </c>
      <c r="G195" s="4" t="str">
        <f>VLOOKUP($A195,'Institution Evaluation'!$A$56:$K$346,7,0)&amp;""</f>
        <v>Yes</v>
      </c>
      <c r="H195" s="4" t="str">
        <f>VLOOKUP($A195,'Institution Evaluation'!$A$56:$K$346,8,0)&amp;""</f>
        <v/>
      </c>
      <c r="I195" s="4" t="str">
        <f>VLOOKUP($A195,'Institution Evaluation'!$A$56:$K$346,9,0)&amp;""</f>
        <v>Standard Importance</v>
      </c>
      <c r="J195" s="4" t="str">
        <f>VLOOKUP($A195,'Institution Evaluation'!$A$56:$K$346,10,0)&amp;""</f>
        <v/>
      </c>
      <c r="K195" s="4">
        <f t="shared" si="47"/>
        <v>10</v>
      </c>
      <c r="L195" s="108">
        <f>IF($E195="Not Scored", "N/A",IF(AND($D195='Auto Responses'!$J$27,$H195=""),"N/A",IF(AND($D195='Auto Responses'!$J$27,$H195='Auto Responses'!$J$7),1,IF(AND($D195='Auto Responses'!$J$27,$H195='Auto Responses'!$J$8),0,IF(OR($F195=$G195,$H195='Auto Responses'!$J$7),1,0)))))</f>
        <v>0</v>
      </c>
      <c r="M195" s="4" t="str">
        <f>VLOOKUP($A195,'Institution Evaluation'!$A$56:$K$346,10,0)&amp;""</f>
        <v/>
      </c>
      <c r="N195" s="4">
        <f t="shared" si="48"/>
        <v>0</v>
      </c>
      <c r="O195" s="108" t="str">
        <f t="shared" si="41"/>
        <v>N/A</v>
      </c>
      <c r="P195" s="108" t="str">
        <f t="shared" si="49"/>
        <v>N/A</v>
      </c>
      <c r="Q195" s="108">
        <f t="shared" si="42"/>
        <v>0</v>
      </c>
      <c r="R195" s="108">
        <f t="shared" si="35"/>
        <v>0</v>
      </c>
      <c r="S195" s="108">
        <f t="shared" si="43"/>
        <v>0</v>
      </c>
      <c r="T195" s="108">
        <f t="shared" si="44"/>
        <v>0</v>
      </c>
      <c r="U195" s="108">
        <f t="shared" si="36"/>
        <v>60</v>
      </c>
      <c r="V195" s="108">
        <f t="shared" si="45"/>
        <v>0</v>
      </c>
    </row>
    <row r="196" spans="1:22" ht="57" x14ac:dyDescent="0.2">
      <c r="A196" s="4" t="str">
        <f>Questions!$A196</f>
        <v>HIPA-10</v>
      </c>
      <c r="B196" s="4" t="str">
        <f t="shared" si="46"/>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Evaluation'!$A$56:$K$346,3,0)&amp;""</f>
        <v/>
      </c>
      <c r="G196" s="4" t="str">
        <f>VLOOKUP($A196,'Institution Evaluation'!$A$56:$K$346,7,0)&amp;""</f>
        <v>Yes</v>
      </c>
      <c r="H196" s="4" t="str">
        <f>VLOOKUP($A196,'Institution Evaluation'!$A$56:$K$346,8,0)&amp;""</f>
        <v/>
      </c>
      <c r="I196" s="4" t="str">
        <f>VLOOKUP($A196,'Institution Evaluation'!$A$56:$K$346,9,0)&amp;""</f>
        <v>Standard Importance</v>
      </c>
      <c r="J196" s="4" t="str">
        <f>VLOOKUP($A196,'Institution Evaluation'!$A$56:$K$346,10,0)&amp;""</f>
        <v/>
      </c>
      <c r="K196" s="4">
        <f t="shared" si="47"/>
        <v>10</v>
      </c>
      <c r="L196" s="108">
        <f>IF($E196="Not Scored", "N/A",IF(AND($D196='Auto Responses'!$J$27,$H196=""),"N/A",IF(AND($D196='Auto Responses'!$J$27,$H196='Auto Responses'!$J$7),1,IF(AND($D196='Auto Responses'!$J$27,$H196='Auto Responses'!$J$8),0,IF(OR($F196=$G196,$H196='Auto Responses'!$J$7),1,0)))))</f>
        <v>0</v>
      </c>
      <c r="M196" s="4" t="str">
        <f>VLOOKUP($A196,'Institution Evaluation'!$A$56:$K$346,10,0)&amp;""</f>
        <v/>
      </c>
      <c r="N196" s="4">
        <f t="shared" si="48"/>
        <v>0</v>
      </c>
      <c r="O196" s="108" t="str">
        <f t="shared" si="41"/>
        <v>N/A</v>
      </c>
      <c r="P196" s="108" t="str">
        <f t="shared" si="49"/>
        <v>N/A</v>
      </c>
      <c r="Q196" s="108">
        <f t="shared" si="42"/>
        <v>0</v>
      </c>
      <c r="R196" s="108">
        <f t="shared" si="35"/>
        <v>0</v>
      </c>
      <c r="S196" s="108">
        <f t="shared" si="43"/>
        <v>0</v>
      </c>
      <c r="T196" s="108">
        <f t="shared" si="44"/>
        <v>0</v>
      </c>
      <c r="U196" s="108">
        <f t="shared" si="36"/>
        <v>60</v>
      </c>
      <c r="V196" s="108">
        <f t="shared" si="45"/>
        <v>0</v>
      </c>
    </row>
    <row r="197" spans="1:22" ht="57" x14ac:dyDescent="0.2">
      <c r="A197" s="4" t="str">
        <f>Questions!$A197</f>
        <v>HIPA-11</v>
      </c>
      <c r="B197" s="4" t="str">
        <f t="shared" si="46"/>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Evaluation'!$A$56:$K$346,3,0)&amp;""</f>
        <v/>
      </c>
      <c r="G197" s="4" t="str">
        <f>VLOOKUP($A197,'Institution Evaluation'!$A$56:$K$346,7,0)&amp;""</f>
        <v>Yes</v>
      </c>
      <c r="H197" s="4" t="str">
        <f>VLOOKUP($A197,'Institution Evaluation'!$A$56:$K$346,8,0)&amp;""</f>
        <v/>
      </c>
      <c r="I197" s="4" t="str">
        <f>VLOOKUP($A197,'Institution Evaluation'!$A$56:$K$346,9,0)&amp;""</f>
        <v>Standard Importance</v>
      </c>
      <c r="J197" s="4" t="str">
        <f>VLOOKUP($A197,'Institution Evaluation'!$A$56:$K$346,10,0)&amp;""</f>
        <v/>
      </c>
      <c r="K197" s="4">
        <f t="shared" si="47"/>
        <v>10</v>
      </c>
      <c r="L197" s="108">
        <f>IF($E197="Not Scored", "N/A",IF(AND($D197='Auto Responses'!$J$27,$H197=""),"N/A",IF(AND($D197='Auto Responses'!$J$27,$H197='Auto Responses'!$J$7),1,IF(AND($D197='Auto Responses'!$J$27,$H197='Auto Responses'!$J$8),0,IF(OR($F197=$G197,$H197='Auto Responses'!$J$7),1,0)))))</f>
        <v>0</v>
      </c>
      <c r="M197" s="4" t="str">
        <f>VLOOKUP($A197,'Institution Evaluation'!$A$56:$K$346,10,0)&amp;""</f>
        <v/>
      </c>
      <c r="N197" s="4">
        <f t="shared" si="48"/>
        <v>0</v>
      </c>
      <c r="O197" s="108" t="str">
        <f t="shared" si="41"/>
        <v>N/A</v>
      </c>
      <c r="P197" s="108" t="str">
        <f t="shared" si="49"/>
        <v>N/A</v>
      </c>
      <c r="Q197" s="108">
        <f t="shared" si="42"/>
        <v>0</v>
      </c>
      <c r="R197" s="108">
        <f t="shared" ref="R197:R260" si="50">R196+Q197</f>
        <v>0</v>
      </c>
      <c r="S197" s="108">
        <f t="shared" si="43"/>
        <v>0</v>
      </c>
      <c r="T197" s="108">
        <f t="shared" si="44"/>
        <v>0</v>
      </c>
      <c r="U197" s="108">
        <f t="shared" ref="U197:U260" si="51">U196+T197</f>
        <v>60</v>
      </c>
      <c r="V197" s="108">
        <f t="shared" si="45"/>
        <v>0</v>
      </c>
    </row>
    <row r="198" spans="1:22" ht="57" x14ac:dyDescent="0.2">
      <c r="A198" s="4" t="str">
        <f>Questions!$A198</f>
        <v>HIPA-12</v>
      </c>
      <c r="B198" s="4" t="str">
        <f t="shared" si="46"/>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Evaluation'!$A$56:$K$346,3,0)&amp;""</f>
        <v/>
      </c>
      <c r="G198" s="4" t="str">
        <f>VLOOKUP($A198,'Institution Evaluation'!$A$56:$K$346,7,0)&amp;""</f>
        <v>Yes</v>
      </c>
      <c r="H198" s="4" t="str">
        <f>VLOOKUP($A198,'Institution Evaluation'!$A$56:$K$346,8,0)&amp;""</f>
        <v/>
      </c>
      <c r="I198" s="4" t="str">
        <f>VLOOKUP($A198,'Institution Evaluation'!$A$56:$K$346,9,0)&amp;""</f>
        <v>Standard Importance</v>
      </c>
      <c r="J198" s="4" t="str">
        <f>VLOOKUP($A198,'Institution Evaluation'!$A$56:$K$346,10,0)&amp;""</f>
        <v/>
      </c>
      <c r="K198" s="4">
        <f t="shared" si="47"/>
        <v>10</v>
      </c>
      <c r="L198" s="108">
        <f>IF($E198="Not Scored", "N/A",IF(AND($D198='Auto Responses'!$J$27,$H198=""),"N/A",IF(AND($D198='Auto Responses'!$J$27,$H198='Auto Responses'!$J$7),1,IF(AND($D198='Auto Responses'!$J$27,$H198='Auto Responses'!$J$8),0,IF(OR($F198=$G198,$H198='Auto Responses'!$J$7),1,0)))))</f>
        <v>0</v>
      </c>
      <c r="M198" s="4" t="str">
        <f>VLOOKUP($A198,'Institution Evaluation'!$A$56:$K$346,10,0)&amp;""</f>
        <v/>
      </c>
      <c r="N198" s="4">
        <f t="shared" si="48"/>
        <v>0</v>
      </c>
      <c r="O198" s="108" t="str">
        <f t="shared" si="41"/>
        <v>N/A</v>
      </c>
      <c r="P198" s="108" t="str">
        <f t="shared" si="49"/>
        <v>N/A</v>
      </c>
      <c r="Q198" s="108">
        <f t="shared" si="42"/>
        <v>0</v>
      </c>
      <c r="R198" s="108">
        <f t="shared" si="50"/>
        <v>0</v>
      </c>
      <c r="S198" s="108">
        <f t="shared" si="43"/>
        <v>0</v>
      </c>
      <c r="T198" s="108">
        <f t="shared" si="44"/>
        <v>0</v>
      </c>
      <c r="U198" s="108">
        <f t="shared" si="51"/>
        <v>60</v>
      </c>
      <c r="V198" s="108">
        <f t="shared" si="45"/>
        <v>0</v>
      </c>
    </row>
    <row r="199" spans="1:22" ht="57" x14ac:dyDescent="0.2">
      <c r="A199" s="4" t="str">
        <f>Questions!$A199</f>
        <v>HIPA-13</v>
      </c>
      <c r="B199" s="4" t="str">
        <f t="shared" si="46"/>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Evaluation'!$A$56:$K$346,3,0)&amp;""</f>
        <v/>
      </c>
      <c r="G199" s="4" t="str">
        <f>VLOOKUP($A199,'Institution Evaluation'!$A$56:$K$346,7,0)&amp;""</f>
        <v>Yes</v>
      </c>
      <c r="H199" s="4" t="str">
        <f>VLOOKUP($A199,'Institution Evaluation'!$A$56:$K$346,8,0)&amp;""</f>
        <v/>
      </c>
      <c r="I199" s="4" t="str">
        <f>VLOOKUP($A199,'Institution Evaluation'!$A$56:$K$346,9,0)&amp;""</f>
        <v>Standard Importance</v>
      </c>
      <c r="J199" s="4" t="str">
        <f>VLOOKUP($A199,'Institution Evaluation'!$A$56:$K$346,10,0)&amp;""</f>
        <v/>
      </c>
      <c r="K199" s="4">
        <f t="shared" si="47"/>
        <v>10</v>
      </c>
      <c r="L199" s="108">
        <f>IF($E199="Not Scored", "N/A",IF(AND($D199='Auto Responses'!$J$27,$H199=""),"N/A",IF(AND($D199='Auto Responses'!$J$27,$H199='Auto Responses'!$J$7),1,IF(AND($D199='Auto Responses'!$J$27,$H199='Auto Responses'!$J$8),0,IF(OR($F199=$G199,$H199='Auto Responses'!$J$7),1,0)))))</f>
        <v>0</v>
      </c>
      <c r="M199" s="4" t="str">
        <f>VLOOKUP($A199,'Institution Evaluation'!$A$56:$K$346,10,0)&amp;""</f>
        <v/>
      </c>
      <c r="N199" s="4">
        <f t="shared" si="48"/>
        <v>0</v>
      </c>
      <c r="O199" s="108" t="str">
        <f t="shared" si="41"/>
        <v>N/A</v>
      </c>
      <c r="P199" s="108" t="str">
        <f t="shared" si="49"/>
        <v>N/A</v>
      </c>
      <c r="Q199" s="108">
        <f t="shared" si="42"/>
        <v>0</v>
      </c>
      <c r="R199" s="108">
        <f t="shared" si="50"/>
        <v>0</v>
      </c>
      <c r="S199" s="108">
        <f t="shared" si="43"/>
        <v>0</v>
      </c>
      <c r="T199" s="108">
        <f t="shared" si="44"/>
        <v>0</v>
      </c>
      <c r="U199" s="108">
        <f t="shared" si="51"/>
        <v>60</v>
      </c>
      <c r="V199" s="108">
        <f t="shared" si="45"/>
        <v>0</v>
      </c>
    </row>
    <row r="200" spans="1:22" ht="57" x14ac:dyDescent="0.2">
      <c r="A200" s="4" t="str">
        <f>Questions!$A200</f>
        <v>HIPA-14</v>
      </c>
      <c r="B200" s="4" t="str">
        <f t="shared" si="46"/>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Evaluation'!$A$56:$K$346,3,0)&amp;""</f>
        <v/>
      </c>
      <c r="G200" s="4" t="str">
        <f>VLOOKUP($A200,'Institution Evaluation'!$A$56:$K$346,7,0)&amp;""</f>
        <v>No</v>
      </c>
      <c r="H200" s="4" t="str">
        <f>VLOOKUP($A200,'Institution Evaluation'!$A$56:$K$346,8,0)&amp;""</f>
        <v/>
      </c>
      <c r="I200" s="4" t="str">
        <f>VLOOKUP($A200,'Institution Evaluation'!$A$56:$K$346,9,0)&amp;""</f>
        <v>Standard Importance</v>
      </c>
      <c r="J200" s="4" t="str">
        <f>VLOOKUP($A200,'Institution Evaluation'!$A$56:$K$346,10,0)&amp;""</f>
        <v/>
      </c>
      <c r="K200" s="4">
        <f t="shared" si="47"/>
        <v>10</v>
      </c>
      <c r="L200" s="108">
        <f>IF($E200="Not Scored", "N/A",IF(AND($D200='Auto Responses'!$J$27,$H200=""),"N/A",IF(AND($D200='Auto Responses'!$J$27,$H200='Auto Responses'!$J$7),1,IF(AND($D200='Auto Responses'!$J$27,$H200='Auto Responses'!$J$8),0,IF(OR($F200=$G200,$H200='Auto Responses'!$J$7),1,0)))))</f>
        <v>0</v>
      </c>
      <c r="M200" s="4" t="str">
        <f>VLOOKUP($A200,'Institution Evaluation'!$A$56:$K$346,10,0)&amp;""</f>
        <v/>
      </c>
      <c r="N200" s="4">
        <f t="shared" si="48"/>
        <v>0</v>
      </c>
      <c r="O200" s="108" t="str">
        <f t="shared" si="41"/>
        <v>N/A</v>
      </c>
      <c r="P200" s="108" t="str">
        <f t="shared" si="49"/>
        <v>N/A</v>
      </c>
      <c r="Q200" s="108">
        <f t="shared" si="42"/>
        <v>0</v>
      </c>
      <c r="R200" s="108">
        <f t="shared" si="50"/>
        <v>0</v>
      </c>
      <c r="S200" s="108">
        <f t="shared" si="43"/>
        <v>0</v>
      </c>
      <c r="T200" s="108">
        <f t="shared" si="44"/>
        <v>0</v>
      </c>
      <c r="U200" s="108">
        <f t="shared" si="51"/>
        <v>60</v>
      </c>
      <c r="V200" s="108">
        <f t="shared" si="45"/>
        <v>0</v>
      </c>
    </row>
    <row r="201" spans="1:22" ht="57" x14ac:dyDescent="0.2">
      <c r="A201" s="4" t="str">
        <f>Questions!$A201</f>
        <v>HIPA-15</v>
      </c>
      <c r="B201" s="4" t="str">
        <f t="shared" si="46"/>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Evaluation'!$A$56:$K$346,3,0)&amp;""</f>
        <v/>
      </c>
      <c r="G201" s="4" t="str">
        <f>VLOOKUP($A201,'Institution Evaluation'!$A$56:$K$346,7,0)&amp;""</f>
        <v>Yes</v>
      </c>
      <c r="H201" s="4" t="str">
        <f>VLOOKUP($A201,'Institution Evaluation'!$A$56:$K$346,8,0)&amp;""</f>
        <v/>
      </c>
      <c r="I201" s="4" t="str">
        <f>VLOOKUP($A201,'Institution Evaluation'!$A$56:$K$346,9,0)&amp;""</f>
        <v>Standard Importance</v>
      </c>
      <c r="J201" s="4" t="str">
        <f>VLOOKUP($A201,'Institution Evaluation'!$A$56:$K$346,10,0)&amp;""</f>
        <v/>
      </c>
      <c r="K201" s="4">
        <f t="shared" si="47"/>
        <v>10</v>
      </c>
      <c r="L201" s="108">
        <f>IF($E201="Not Scored", "N/A",IF(AND($D201='Auto Responses'!$J$27,$H201=""),"N/A",IF(AND($D201='Auto Responses'!$J$27,$H201='Auto Responses'!$J$7),1,IF(AND($D201='Auto Responses'!$J$27,$H201='Auto Responses'!$J$8),0,IF(OR($F201=$G201,$H201='Auto Responses'!$J$7),1,0)))))</f>
        <v>0</v>
      </c>
      <c r="M201" s="4" t="str">
        <f>VLOOKUP($A201,'Institution Evaluation'!$A$56:$K$346,10,0)&amp;""</f>
        <v/>
      </c>
      <c r="N201" s="4">
        <f t="shared" si="48"/>
        <v>0</v>
      </c>
      <c r="O201" s="108" t="str">
        <f t="shared" si="41"/>
        <v>N/A</v>
      </c>
      <c r="P201" s="108" t="str">
        <f t="shared" si="49"/>
        <v>N/A</v>
      </c>
      <c r="Q201" s="108">
        <f t="shared" si="42"/>
        <v>0</v>
      </c>
      <c r="R201" s="108">
        <f t="shared" si="50"/>
        <v>0</v>
      </c>
      <c r="S201" s="108">
        <f t="shared" si="43"/>
        <v>0</v>
      </c>
      <c r="T201" s="108">
        <f t="shared" si="44"/>
        <v>0</v>
      </c>
      <c r="U201" s="108">
        <f t="shared" si="51"/>
        <v>60</v>
      </c>
      <c r="V201" s="108">
        <f t="shared" si="45"/>
        <v>0</v>
      </c>
    </row>
    <row r="202" spans="1:22" ht="57" x14ac:dyDescent="0.2">
      <c r="A202" s="4" t="str">
        <f>Questions!$A202</f>
        <v>HIPA-16</v>
      </c>
      <c r="B202" s="4" t="str">
        <f t="shared" si="46"/>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Evaluation'!$A$56:$K$346,3,0)&amp;""</f>
        <v/>
      </c>
      <c r="G202" s="4" t="str">
        <f>VLOOKUP($A202,'Institution Evaluation'!$A$56:$K$346,7,0)&amp;""</f>
        <v>Yes</v>
      </c>
      <c r="H202" s="4" t="str">
        <f>VLOOKUP($A202,'Institution Evaluation'!$A$56:$K$346,8,0)&amp;""</f>
        <v/>
      </c>
      <c r="I202" s="4" t="str">
        <f>VLOOKUP($A202,'Institution Evaluation'!$A$56:$K$346,9,0)&amp;""</f>
        <v>Standard Importance</v>
      </c>
      <c r="J202" s="4" t="str">
        <f>VLOOKUP($A202,'Institution Evaluation'!$A$56:$K$346,10,0)&amp;""</f>
        <v/>
      </c>
      <c r="K202" s="4">
        <f t="shared" si="47"/>
        <v>10</v>
      </c>
      <c r="L202" s="108">
        <f>IF($E202="Not Scored", "N/A",IF(AND($D202='Auto Responses'!$J$27,$H202=""),"N/A",IF(AND($D202='Auto Responses'!$J$27,$H202='Auto Responses'!$J$7),1,IF(AND($D202='Auto Responses'!$J$27,$H202='Auto Responses'!$J$8),0,IF(OR($F202=$G202,$H202='Auto Responses'!$J$7),1,0)))))</f>
        <v>0</v>
      </c>
      <c r="M202" s="4" t="str">
        <f>VLOOKUP($A202,'Institution Evaluation'!$A$56:$K$346,10,0)&amp;""</f>
        <v/>
      </c>
      <c r="N202" s="4">
        <f t="shared" si="48"/>
        <v>0</v>
      </c>
      <c r="O202" s="108" t="str">
        <f t="shared" si="41"/>
        <v>N/A</v>
      </c>
      <c r="P202" s="108" t="str">
        <f t="shared" si="49"/>
        <v>N/A</v>
      </c>
      <c r="Q202" s="108">
        <f t="shared" si="42"/>
        <v>0</v>
      </c>
      <c r="R202" s="108">
        <f t="shared" si="50"/>
        <v>0</v>
      </c>
      <c r="S202" s="108">
        <f t="shared" si="43"/>
        <v>0</v>
      </c>
      <c r="T202" s="108">
        <f t="shared" si="44"/>
        <v>0</v>
      </c>
      <c r="U202" s="108">
        <f t="shared" si="51"/>
        <v>60</v>
      </c>
      <c r="V202" s="108">
        <f t="shared" si="45"/>
        <v>0</v>
      </c>
    </row>
    <row r="203" spans="1:22" ht="57" x14ac:dyDescent="0.2">
      <c r="A203" s="4" t="str">
        <f>Questions!$A203</f>
        <v>HIPA-17</v>
      </c>
      <c r="B203" s="4" t="str">
        <f t="shared" si="46"/>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Evaluation'!$A$56:$K$346,3,0)&amp;""</f>
        <v/>
      </c>
      <c r="G203" s="4" t="str">
        <f>VLOOKUP($A203,'Institution Evaluation'!$A$56:$K$346,7,0)&amp;""</f>
        <v>Yes</v>
      </c>
      <c r="H203" s="4" t="str">
        <f>VLOOKUP($A203,'Institution Evaluation'!$A$56:$K$346,8,0)&amp;""</f>
        <v/>
      </c>
      <c r="I203" s="4" t="str">
        <f>VLOOKUP($A203,'Institution Evaluation'!$A$56:$K$346,9,0)&amp;""</f>
        <v>Standard Importance</v>
      </c>
      <c r="J203" s="4" t="str">
        <f>VLOOKUP($A203,'Institution Evaluation'!$A$56:$K$346,10,0)&amp;""</f>
        <v/>
      </c>
      <c r="K203" s="4">
        <f t="shared" si="47"/>
        <v>10</v>
      </c>
      <c r="L203" s="108">
        <f>IF($E203="Not Scored", "N/A",IF(AND($D203='Auto Responses'!$J$27,$H203=""),"N/A",IF(AND($D203='Auto Responses'!$J$27,$H203='Auto Responses'!$J$7),1,IF(AND($D203='Auto Responses'!$J$27,$H203='Auto Responses'!$J$8),0,IF(OR($F203=$G203,$H203='Auto Responses'!$J$7),1,0)))))</f>
        <v>0</v>
      </c>
      <c r="M203" s="4" t="str">
        <f>VLOOKUP($A203,'Institution Evaluation'!$A$56:$K$346,10,0)&amp;""</f>
        <v/>
      </c>
      <c r="N203" s="4">
        <f t="shared" si="48"/>
        <v>0</v>
      </c>
      <c r="O203" s="108" t="str">
        <f t="shared" si="41"/>
        <v>N/A</v>
      </c>
      <c r="P203" s="108" t="str">
        <f t="shared" si="49"/>
        <v>N/A</v>
      </c>
      <c r="Q203" s="108">
        <f t="shared" si="42"/>
        <v>0</v>
      </c>
      <c r="R203" s="108">
        <f t="shared" si="50"/>
        <v>0</v>
      </c>
      <c r="S203" s="108">
        <f t="shared" si="43"/>
        <v>0</v>
      </c>
      <c r="T203" s="108">
        <f t="shared" si="44"/>
        <v>0</v>
      </c>
      <c r="U203" s="108">
        <f t="shared" si="51"/>
        <v>60</v>
      </c>
      <c r="V203" s="108">
        <f t="shared" si="45"/>
        <v>0</v>
      </c>
    </row>
    <row r="204" spans="1:22" ht="57" x14ac:dyDescent="0.2">
      <c r="A204" s="4" t="str">
        <f>Questions!$A204</f>
        <v>HIPA-18</v>
      </c>
      <c r="B204" s="4" t="str">
        <f t="shared" si="46"/>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Evaluation'!$A$56:$K$346,3,0)&amp;""</f>
        <v/>
      </c>
      <c r="G204" s="4" t="str">
        <f>VLOOKUP($A204,'Institution Evaluation'!$A$56:$K$346,7,0)&amp;""</f>
        <v>No</v>
      </c>
      <c r="H204" s="4" t="str">
        <f>VLOOKUP($A204,'Institution Evaluation'!$A$56:$K$346,8,0)&amp;""</f>
        <v/>
      </c>
      <c r="I204" s="4" t="str">
        <f>VLOOKUP($A204,'Institution Evaluation'!$A$56:$K$346,9,0)&amp;""</f>
        <v>Standard Importance</v>
      </c>
      <c r="J204" s="4" t="str">
        <f>VLOOKUP($A204,'Institution Evaluation'!$A$56:$K$346,10,0)&amp;""</f>
        <v/>
      </c>
      <c r="K204" s="4">
        <f t="shared" si="47"/>
        <v>10</v>
      </c>
      <c r="L204" s="108">
        <f>IF($E204="Not Scored", "N/A",IF(AND($D204='Auto Responses'!$J$27,$H204=""),"N/A",IF(AND($D204='Auto Responses'!$J$27,$H204='Auto Responses'!$J$7),1,IF(AND($D204='Auto Responses'!$J$27,$H204='Auto Responses'!$J$8),0,IF(OR($F204=$G204,$H204='Auto Responses'!$J$7),1,0)))))</f>
        <v>0</v>
      </c>
      <c r="M204" s="4" t="str">
        <f>VLOOKUP($A204,'Institution Evaluation'!$A$56:$K$346,10,0)&amp;""</f>
        <v/>
      </c>
      <c r="N204" s="4">
        <f t="shared" si="48"/>
        <v>0</v>
      </c>
      <c r="O204" s="108" t="str">
        <f t="shared" si="41"/>
        <v>N/A</v>
      </c>
      <c r="P204" s="108" t="str">
        <f t="shared" si="49"/>
        <v>N/A</v>
      </c>
      <c r="Q204" s="108">
        <f t="shared" si="42"/>
        <v>0</v>
      </c>
      <c r="R204" s="108">
        <f t="shared" si="50"/>
        <v>0</v>
      </c>
      <c r="S204" s="108">
        <f t="shared" si="43"/>
        <v>0</v>
      </c>
      <c r="T204" s="108">
        <f t="shared" si="44"/>
        <v>0</v>
      </c>
      <c r="U204" s="108">
        <f t="shared" si="51"/>
        <v>60</v>
      </c>
      <c r="V204" s="108">
        <f t="shared" si="45"/>
        <v>0</v>
      </c>
    </row>
    <row r="205" spans="1:22" ht="57" x14ac:dyDescent="0.2">
      <c r="A205" s="4" t="str">
        <f>Questions!$A205</f>
        <v>HIPA-19</v>
      </c>
      <c r="B205" s="4" t="str">
        <f t="shared" si="46"/>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Evaluation'!$A$56:$K$346,3,0)&amp;""</f>
        <v/>
      </c>
      <c r="G205" s="4" t="str">
        <f>VLOOKUP($A205,'Institution Evaluation'!$A$56:$K$346,7,0)&amp;""</f>
        <v>Yes</v>
      </c>
      <c r="H205" s="4" t="str">
        <f>VLOOKUP($A205,'Institution Evaluation'!$A$56:$K$346,8,0)&amp;""</f>
        <v/>
      </c>
      <c r="I205" s="4" t="str">
        <f>VLOOKUP($A205,'Institution Evaluation'!$A$56:$K$346,9,0)&amp;""</f>
        <v>Standard Importance</v>
      </c>
      <c r="J205" s="4" t="str">
        <f>VLOOKUP($A205,'Institution Evaluation'!$A$56:$K$346,10,0)&amp;""</f>
        <v/>
      </c>
      <c r="K205" s="4">
        <f t="shared" si="47"/>
        <v>10</v>
      </c>
      <c r="L205" s="108">
        <f>IF($E205="Not Scored", "N/A",IF(AND($D205='Auto Responses'!$J$27,$H205=""),"N/A",IF(AND($D205='Auto Responses'!$J$27,$H205='Auto Responses'!$J$7),1,IF(AND($D205='Auto Responses'!$J$27,$H205='Auto Responses'!$J$8),0,IF(OR($F205=$G205,$H205='Auto Responses'!$J$7),1,0)))))</f>
        <v>0</v>
      </c>
      <c r="M205" s="4" t="str">
        <f>VLOOKUP($A205,'Institution Evaluation'!$A$56:$K$346,10,0)&amp;""</f>
        <v/>
      </c>
      <c r="N205" s="4">
        <f t="shared" si="48"/>
        <v>0</v>
      </c>
      <c r="O205" s="108" t="str">
        <f t="shared" si="41"/>
        <v>N/A</v>
      </c>
      <c r="P205" s="108" t="str">
        <f t="shared" si="49"/>
        <v>N/A</v>
      </c>
      <c r="Q205" s="108">
        <f t="shared" si="42"/>
        <v>0</v>
      </c>
      <c r="R205" s="108">
        <f t="shared" si="50"/>
        <v>0</v>
      </c>
      <c r="S205" s="108">
        <f t="shared" si="43"/>
        <v>0</v>
      </c>
      <c r="T205" s="108">
        <f t="shared" si="44"/>
        <v>0</v>
      </c>
      <c r="U205" s="108">
        <f t="shared" si="51"/>
        <v>60</v>
      </c>
      <c r="V205" s="108">
        <f t="shared" si="45"/>
        <v>0</v>
      </c>
    </row>
    <row r="206" spans="1:22" ht="57" x14ac:dyDescent="0.2">
      <c r="A206" s="4" t="str">
        <f>Questions!$A206</f>
        <v>HIPA-20</v>
      </c>
      <c r="B206" s="4" t="str">
        <f t="shared" si="46"/>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Evaluation'!$A$56:$K$346,3,0)&amp;""</f>
        <v/>
      </c>
      <c r="G206" s="4" t="str">
        <f>VLOOKUP($A206,'Institution Evaluation'!$A$56:$K$346,7,0)&amp;""</f>
        <v>Yes</v>
      </c>
      <c r="H206" s="4" t="str">
        <f>VLOOKUP($A206,'Institution Evaluation'!$A$56:$K$346,8,0)&amp;""</f>
        <v/>
      </c>
      <c r="I206" s="4" t="str">
        <f>VLOOKUP($A206,'Institution Evaluation'!$A$56:$K$346,9,0)&amp;""</f>
        <v>Standard Importance</v>
      </c>
      <c r="J206" s="4" t="str">
        <f>VLOOKUP($A206,'Institution Evaluation'!$A$56:$K$346,10,0)&amp;""</f>
        <v/>
      </c>
      <c r="K206" s="4">
        <f t="shared" si="47"/>
        <v>10</v>
      </c>
      <c r="L206" s="108">
        <f>IF($E206="Not Scored", "N/A",IF(AND($D206='Auto Responses'!$J$27,$H206=""),"N/A",IF(AND($D206='Auto Responses'!$J$27,$H206='Auto Responses'!$J$7),1,IF(AND($D206='Auto Responses'!$J$27,$H206='Auto Responses'!$J$8),0,IF(OR($F206=$G206,$H206='Auto Responses'!$J$7),1,0)))))</f>
        <v>0</v>
      </c>
      <c r="M206" s="4" t="str">
        <f>VLOOKUP($A206,'Institution Evaluation'!$A$56:$K$346,10,0)&amp;""</f>
        <v/>
      </c>
      <c r="N206" s="4">
        <f t="shared" si="48"/>
        <v>0</v>
      </c>
      <c r="O206" s="108" t="str">
        <f t="shared" si="41"/>
        <v>N/A</v>
      </c>
      <c r="P206" s="108" t="str">
        <f t="shared" si="49"/>
        <v>N/A</v>
      </c>
      <c r="Q206" s="108">
        <f t="shared" si="42"/>
        <v>0</v>
      </c>
      <c r="R206" s="108">
        <f t="shared" si="50"/>
        <v>0</v>
      </c>
      <c r="S206" s="108">
        <f t="shared" si="43"/>
        <v>0</v>
      </c>
      <c r="T206" s="108">
        <f t="shared" si="44"/>
        <v>0</v>
      </c>
      <c r="U206" s="108">
        <f t="shared" si="51"/>
        <v>60</v>
      </c>
      <c r="V206" s="108">
        <f t="shared" si="45"/>
        <v>0</v>
      </c>
    </row>
    <row r="207" spans="1:22" ht="57" x14ac:dyDescent="0.2">
      <c r="A207" s="4" t="str">
        <f>Questions!$A207</f>
        <v>HIPA-21</v>
      </c>
      <c r="B207" s="4" t="str">
        <f t="shared" si="46"/>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Evaluation'!$A$56:$K$346,3,0)&amp;""</f>
        <v/>
      </c>
      <c r="G207" s="4" t="str">
        <f>VLOOKUP($A207,'Institution Evaluation'!$A$56:$K$346,7,0)&amp;""</f>
        <v>Yes</v>
      </c>
      <c r="H207" s="4" t="str">
        <f>VLOOKUP($A207,'Institution Evaluation'!$A$56:$K$346,8,0)&amp;""</f>
        <v/>
      </c>
      <c r="I207" s="4" t="str">
        <f>VLOOKUP($A207,'Institution Evaluation'!$A$56:$K$346,9,0)&amp;""</f>
        <v>Standard Importance</v>
      </c>
      <c r="J207" s="4" t="str">
        <f>VLOOKUP($A207,'Institution Evaluation'!$A$56:$K$346,10,0)&amp;""</f>
        <v/>
      </c>
      <c r="K207" s="4">
        <f t="shared" si="47"/>
        <v>10</v>
      </c>
      <c r="L207" s="108">
        <f>IF($E207="Not Scored", "N/A",IF(AND($D207='Auto Responses'!$J$27,$H207=""),"N/A",IF(AND($D207='Auto Responses'!$J$27,$H207='Auto Responses'!$J$7),1,IF(AND($D207='Auto Responses'!$J$27,$H207='Auto Responses'!$J$8),0,IF(OR($F207=$G207,$H207='Auto Responses'!$J$7),1,0)))))</f>
        <v>0</v>
      </c>
      <c r="M207" s="4" t="str">
        <f>VLOOKUP($A207,'Institution Evaluation'!$A$56:$K$346,10,0)&amp;""</f>
        <v/>
      </c>
      <c r="N207" s="4">
        <f t="shared" si="48"/>
        <v>0</v>
      </c>
      <c r="O207" s="108" t="str">
        <f t="shared" si="41"/>
        <v>N/A</v>
      </c>
      <c r="P207" s="108" t="str">
        <f t="shared" si="49"/>
        <v>N/A</v>
      </c>
      <c r="Q207" s="108">
        <f t="shared" si="42"/>
        <v>0</v>
      </c>
      <c r="R207" s="108">
        <f t="shared" si="50"/>
        <v>0</v>
      </c>
      <c r="S207" s="108">
        <f t="shared" si="43"/>
        <v>0</v>
      </c>
      <c r="T207" s="108">
        <f t="shared" si="44"/>
        <v>0</v>
      </c>
      <c r="U207" s="108">
        <f t="shared" si="51"/>
        <v>60</v>
      </c>
      <c r="V207" s="108">
        <f t="shared" si="45"/>
        <v>0</v>
      </c>
    </row>
    <row r="208" spans="1:22" ht="57" x14ac:dyDescent="0.2">
      <c r="A208" s="4" t="str">
        <f>Questions!$A208</f>
        <v>HIPA-22</v>
      </c>
      <c r="B208" s="4" t="str">
        <f t="shared" si="46"/>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Evaluation'!$A$56:$K$346,3,0)&amp;""</f>
        <v/>
      </c>
      <c r="G208" s="4" t="str">
        <f>VLOOKUP($A208,'Institution Evaluation'!$A$56:$K$346,7,0)&amp;""</f>
        <v>Yes</v>
      </c>
      <c r="H208" s="4" t="str">
        <f>VLOOKUP($A208,'Institution Evaluation'!$A$56:$K$346,8,0)&amp;""</f>
        <v/>
      </c>
      <c r="I208" s="4" t="str">
        <f>VLOOKUP($A208,'Institution Evaluation'!$A$56:$K$346,9,0)&amp;""</f>
        <v>Standard Importance</v>
      </c>
      <c r="J208" s="4" t="str">
        <f>VLOOKUP($A208,'Institution Evaluation'!$A$56:$K$346,10,0)&amp;""</f>
        <v/>
      </c>
      <c r="K208" s="4">
        <f t="shared" si="47"/>
        <v>10</v>
      </c>
      <c r="L208" s="108">
        <f>IF($E208="Not Scored", "N/A",IF(AND($D208='Auto Responses'!$J$27,$H208=""),"N/A",IF(AND($D208='Auto Responses'!$J$27,$H208='Auto Responses'!$J$7),1,IF(AND($D208='Auto Responses'!$J$27,$H208='Auto Responses'!$J$8),0,IF(OR($F208=$G208,$H208='Auto Responses'!$J$7),1,0)))))</f>
        <v>0</v>
      </c>
      <c r="M208" s="4" t="str">
        <f>VLOOKUP($A208,'Institution Evaluation'!$A$56:$K$346,10,0)&amp;""</f>
        <v/>
      </c>
      <c r="N208" s="4">
        <f t="shared" si="48"/>
        <v>0</v>
      </c>
      <c r="O208" s="108" t="str">
        <f t="shared" si="41"/>
        <v>N/A</v>
      </c>
      <c r="P208" s="108" t="str">
        <f t="shared" si="49"/>
        <v>N/A</v>
      </c>
      <c r="Q208" s="108">
        <f t="shared" si="42"/>
        <v>0</v>
      </c>
      <c r="R208" s="108">
        <f t="shared" si="50"/>
        <v>0</v>
      </c>
      <c r="S208" s="108">
        <f t="shared" si="43"/>
        <v>0</v>
      </c>
      <c r="T208" s="108">
        <f t="shared" si="44"/>
        <v>0</v>
      </c>
      <c r="U208" s="108">
        <f t="shared" si="51"/>
        <v>60</v>
      </c>
      <c r="V208" s="108">
        <f t="shared" si="45"/>
        <v>0</v>
      </c>
    </row>
    <row r="209" spans="1:22" ht="57" x14ac:dyDescent="0.2">
      <c r="A209" s="4" t="str">
        <f>Questions!$A209</f>
        <v>HIPA-23</v>
      </c>
      <c r="B209" s="4" t="str">
        <f t="shared" si="46"/>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Evaluation'!$A$56:$K$346,3,0)&amp;""</f>
        <v/>
      </c>
      <c r="G209" s="4" t="str">
        <f>VLOOKUP($A209,'Institution Evaluation'!$A$56:$K$346,7,0)&amp;""</f>
        <v>Yes</v>
      </c>
      <c r="H209" s="4" t="str">
        <f>VLOOKUP($A209,'Institution Evaluation'!$A$56:$K$346,8,0)&amp;""</f>
        <v/>
      </c>
      <c r="I209" s="4" t="str">
        <f>VLOOKUP($A209,'Institution Evaluation'!$A$56:$K$346,9,0)&amp;""</f>
        <v>Standard Importance</v>
      </c>
      <c r="J209" s="4" t="str">
        <f>VLOOKUP($A209,'Institution Evaluation'!$A$56:$K$346,10,0)&amp;""</f>
        <v/>
      </c>
      <c r="K209" s="4">
        <f t="shared" si="47"/>
        <v>10</v>
      </c>
      <c r="L209" s="108">
        <f>IF($E209="Not Scored", "N/A",IF(AND($D209='Auto Responses'!$J$27,$H209=""),"N/A",IF(AND($D209='Auto Responses'!$J$27,$H209='Auto Responses'!$J$7),1,IF(AND($D209='Auto Responses'!$J$27,$H209='Auto Responses'!$J$8),0,IF(OR($F209=$G209,$H209='Auto Responses'!$J$7),1,0)))))</f>
        <v>0</v>
      </c>
      <c r="M209" s="4" t="str">
        <f>VLOOKUP($A209,'Institution Evaluation'!$A$56:$K$346,10,0)&amp;""</f>
        <v/>
      </c>
      <c r="N209" s="4">
        <f t="shared" si="48"/>
        <v>0</v>
      </c>
      <c r="O209" s="108" t="str">
        <f t="shared" si="41"/>
        <v>N/A</v>
      </c>
      <c r="P209" s="108" t="str">
        <f t="shared" si="49"/>
        <v>N/A</v>
      </c>
      <c r="Q209" s="108">
        <f t="shared" si="42"/>
        <v>0</v>
      </c>
      <c r="R209" s="108">
        <f t="shared" si="50"/>
        <v>0</v>
      </c>
      <c r="S209" s="108">
        <f t="shared" si="43"/>
        <v>0</v>
      </c>
      <c r="T209" s="108">
        <f t="shared" si="44"/>
        <v>0</v>
      </c>
      <c r="U209" s="108">
        <f t="shared" si="51"/>
        <v>60</v>
      </c>
      <c r="V209" s="108">
        <f t="shared" si="45"/>
        <v>0</v>
      </c>
    </row>
    <row r="210" spans="1:22" ht="57" x14ac:dyDescent="0.2">
      <c r="A210" s="4" t="str">
        <f>Questions!$A210</f>
        <v>HIPA-24</v>
      </c>
      <c r="B210" s="4" t="str">
        <f t="shared" si="46"/>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Evaluation'!$A$56:$K$346,3,0)&amp;""</f>
        <v/>
      </c>
      <c r="G210" s="4" t="str">
        <f>VLOOKUP($A210,'Institution Evaluation'!$A$56:$K$346,7,0)&amp;""</f>
        <v>Yes</v>
      </c>
      <c r="H210" s="4" t="str">
        <f>VLOOKUP($A210,'Institution Evaluation'!$A$56:$K$346,8,0)&amp;""</f>
        <v/>
      </c>
      <c r="I210" s="4" t="str">
        <f>VLOOKUP($A210,'Institution Evaluation'!$A$56:$K$346,9,0)&amp;""</f>
        <v>Standard Importance</v>
      </c>
      <c r="J210" s="4" t="str">
        <f>VLOOKUP($A210,'Institution Evaluation'!$A$56:$K$346,10,0)&amp;""</f>
        <v/>
      </c>
      <c r="K210" s="4">
        <f t="shared" si="47"/>
        <v>10</v>
      </c>
      <c r="L210" s="108">
        <f>IF($E210="Not Scored", "N/A",IF(AND($D210='Auto Responses'!$J$27,$H210=""),"N/A",IF(AND($D210='Auto Responses'!$J$27,$H210='Auto Responses'!$J$7),1,IF(AND($D210='Auto Responses'!$J$27,$H210='Auto Responses'!$J$8),0,IF(OR($F210=$G210,$H210='Auto Responses'!$J$7),1,0)))))</f>
        <v>0</v>
      </c>
      <c r="M210" s="4" t="str">
        <f>VLOOKUP($A210,'Institution Evaluation'!$A$56:$K$346,10,0)&amp;""</f>
        <v/>
      </c>
      <c r="N210" s="4">
        <f t="shared" si="48"/>
        <v>0</v>
      </c>
      <c r="O210" s="108" t="str">
        <f t="shared" si="41"/>
        <v>N/A</v>
      </c>
      <c r="P210" s="108" t="str">
        <f t="shared" si="49"/>
        <v>N/A</v>
      </c>
      <c r="Q210" s="108">
        <f t="shared" si="42"/>
        <v>0</v>
      </c>
      <c r="R210" s="108">
        <f t="shared" si="50"/>
        <v>0</v>
      </c>
      <c r="S210" s="108">
        <f t="shared" si="43"/>
        <v>0</v>
      </c>
      <c r="T210" s="108">
        <f t="shared" si="44"/>
        <v>0</v>
      </c>
      <c r="U210" s="108">
        <f t="shared" si="51"/>
        <v>60</v>
      </c>
      <c r="V210" s="108">
        <f t="shared" si="45"/>
        <v>0</v>
      </c>
    </row>
    <row r="211" spans="1:22" ht="57" x14ac:dyDescent="0.2">
      <c r="A211" s="4" t="str">
        <f>Questions!$A211</f>
        <v>HIPA-25</v>
      </c>
      <c r="B211" s="4" t="str">
        <f t="shared" si="46"/>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Evaluation'!$A$56:$K$346,3,0)&amp;""</f>
        <v/>
      </c>
      <c r="G211" s="4" t="str">
        <f>VLOOKUP($A211,'Institution Evaluation'!$A$56:$K$346,7,0)&amp;""</f>
        <v>Yes</v>
      </c>
      <c r="H211" s="4" t="str">
        <f>VLOOKUP($A211,'Institution Evaluation'!$A$56:$K$346,8,0)&amp;""</f>
        <v/>
      </c>
      <c r="I211" s="4" t="str">
        <f>VLOOKUP($A211,'Institution Evaluation'!$A$56:$K$346,9,0)&amp;""</f>
        <v>Standard Importance</v>
      </c>
      <c r="J211" s="4" t="str">
        <f>VLOOKUP($A211,'Institution Evaluation'!$A$56:$K$346,10,0)&amp;""</f>
        <v/>
      </c>
      <c r="K211" s="4">
        <f t="shared" si="47"/>
        <v>10</v>
      </c>
      <c r="L211" s="108">
        <f>IF($E211="Not Scored", "N/A",IF(AND($D211='Auto Responses'!$J$27,$H211=""),"N/A",IF(AND($D211='Auto Responses'!$J$27,$H211='Auto Responses'!$J$7),1,IF(AND($D211='Auto Responses'!$J$27,$H211='Auto Responses'!$J$8),0,IF(OR($F211=$G211,$H211='Auto Responses'!$J$7),1,0)))))</f>
        <v>0</v>
      </c>
      <c r="M211" s="4" t="str">
        <f>VLOOKUP($A211,'Institution Evaluation'!$A$56:$K$346,10,0)&amp;""</f>
        <v/>
      </c>
      <c r="N211" s="4">
        <f t="shared" si="48"/>
        <v>0</v>
      </c>
      <c r="O211" s="108" t="str">
        <f t="shared" si="41"/>
        <v>N/A</v>
      </c>
      <c r="P211" s="108" t="str">
        <f t="shared" si="49"/>
        <v>N/A</v>
      </c>
      <c r="Q211" s="108">
        <f t="shared" si="42"/>
        <v>0</v>
      </c>
      <c r="R211" s="108">
        <f t="shared" si="50"/>
        <v>0</v>
      </c>
      <c r="S211" s="108">
        <f t="shared" si="43"/>
        <v>0</v>
      </c>
      <c r="T211" s="108">
        <f t="shared" si="44"/>
        <v>0</v>
      </c>
      <c r="U211" s="108">
        <f t="shared" si="51"/>
        <v>60</v>
      </c>
      <c r="V211" s="108">
        <f t="shared" si="45"/>
        <v>0</v>
      </c>
    </row>
    <row r="212" spans="1:22" ht="57" x14ac:dyDescent="0.2">
      <c r="A212" s="4" t="str">
        <f>Questions!$A212</f>
        <v>HIPA-26</v>
      </c>
      <c r="B212" s="4" t="str">
        <f t="shared" si="46"/>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Evaluation'!$A$56:$K$346,3,0)&amp;""</f>
        <v/>
      </c>
      <c r="G212" s="4" t="str">
        <f>VLOOKUP($A212,'Institution Evaluation'!$A$56:$K$346,7,0)&amp;""</f>
        <v>Yes</v>
      </c>
      <c r="H212" s="4" t="str">
        <f>VLOOKUP($A212,'Institution Evaluation'!$A$56:$K$346,8,0)&amp;""</f>
        <v/>
      </c>
      <c r="I212" s="4" t="str">
        <f>VLOOKUP($A212,'Institution Evaluation'!$A$56:$K$346,9,0)&amp;""</f>
        <v>Standard Importance</v>
      </c>
      <c r="J212" s="4" t="str">
        <f>VLOOKUP($A212,'Institution Evaluation'!$A$56:$K$346,10,0)&amp;""</f>
        <v/>
      </c>
      <c r="K212" s="4">
        <f t="shared" si="47"/>
        <v>10</v>
      </c>
      <c r="L212" s="108">
        <f>IF($E212="Not Scored", "N/A",IF(AND($D212='Auto Responses'!$J$27,$H212=""),"N/A",IF(AND($D212='Auto Responses'!$J$27,$H212='Auto Responses'!$J$7),1,IF(AND($D212='Auto Responses'!$J$27,$H212='Auto Responses'!$J$8),0,IF(OR($F212=$G212,$H212='Auto Responses'!$J$7),1,0)))))</f>
        <v>0</v>
      </c>
      <c r="M212" s="4" t="str">
        <f>VLOOKUP($A212,'Institution Evaluation'!$A$56:$K$346,10,0)&amp;""</f>
        <v/>
      </c>
      <c r="N212" s="4">
        <f t="shared" si="48"/>
        <v>0</v>
      </c>
      <c r="O212" s="108" t="str">
        <f t="shared" si="41"/>
        <v>N/A</v>
      </c>
      <c r="P212" s="108" t="str">
        <f t="shared" si="49"/>
        <v>N/A</v>
      </c>
      <c r="Q212" s="108">
        <f t="shared" si="42"/>
        <v>0</v>
      </c>
      <c r="R212" s="108">
        <f t="shared" si="50"/>
        <v>0</v>
      </c>
      <c r="S212" s="108">
        <f t="shared" si="43"/>
        <v>0</v>
      </c>
      <c r="T212" s="108">
        <f t="shared" si="44"/>
        <v>0</v>
      </c>
      <c r="U212" s="108">
        <f t="shared" si="51"/>
        <v>60</v>
      </c>
      <c r="V212" s="108">
        <f t="shared" si="45"/>
        <v>0</v>
      </c>
    </row>
    <row r="213" spans="1:22" ht="57" x14ac:dyDescent="0.2">
      <c r="A213" s="4" t="str">
        <f>Questions!$A213</f>
        <v>HIPA-27</v>
      </c>
      <c r="B213" s="4" t="str">
        <f t="shared" si="46"/>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Evaluation'!$A$56:$K$346,3,0)&amp;""</f>
        <v/>
      </c>
      <c r="G213" s="4" t="str">
        <f>VLOOKUP($A213,'Institution Evaluation'!$A$56:$K$346,7,0)&amp;""</f>
        <v>Yes</v>
      </c>
      <c r="H213" s="4" t="str">
        <f>VLOOKUP($A213,'Institution Evaluation'!$A$56:$K$346,8,0)&amp;""</f>
        <v/>
      </c>
      <c r="I213" s="4" t="str">
        <f>VLOOKUP($A213,'Institution Evaluation'!$A$56:$K$346,9,0)&amp;""</f>
        <v>Standard Importance</v>
      </c>
      <c r="J213" s="4" t="str">
        <f>VLOOKUP($A213,'Institution Evaluation'!$A$56:$K$346,10,0)&amp;""</f>
        <v/>
      </c>
      <c r="K213" s="4">
        <f t="shared" si="47"/>
        <v>10</v>
      </c>
      <c r="L213" s="108">
        <f>IF($E213="Not Scored", "N/A",IF(AND($D213='Auto Responses'!$J$27,$H213=""),"N/A",IF(AND($D213='Auto Responses'!$J$27,$H213='Auto Responses'!$J$7),1,IF(AND($D213='Auto Responses'!$J$27,$H213='Auto Responses'!$J$8),0,IF(OR($F213=$G213,$H213='Auto Responses'!$J$7),1,0)))))</f>
        <v>0</v>
      </c>
      <c r="M213" s="4" t="str">
        <f>VLOOKUP($A213,'Institution Evaluation'!$A$56:$K$346,10,0)&amp;""</f>
        <v/>
      </c>
      <c r="N213" s="4">
        <f t="shared" si="48"/>
        <v>0</v>
      </c>
      <c r="O213" s="108" t="str">
        <f t="shared" si="41"/>
        <v>N/A</v>
      </c>
      <c r="P213" s="108" t="str">
        <f t="shared" si="49"/>
        <v>N/A</v>
      </c>
      <c r="Q213" s="108">
        <f t="shared" si="42"/>
        <v>0</v>
      </c>
      <c r="R213" s="108">
        <f t="shared" si="50"/>
        <v>0</v>
      </c>
      <c r="S213" s="108">
        <f t="shared" si="43"/>
        <v>0</v>
      </c>
      <c r="T213" s="108">
        <f t="shared" si="44"/>
        <v>0</v>
      </c>
      <c r="U213" s="108">
        <f t="shared" si="51"/>
        <v>60</v>
      </c>
      <c r="V213" s="108">
        <f t="shared" si="45"/>
        <v>0</v>
      </c>
    </row>
    <row r="214" spans="1:22" ht="57" x14ac:dyDescent="0.2">
      <c r="A214" s="4" t="str">
        <f>Questions!$A214</f>
        <v>HIPA-28</v>
      </c>
      <c r="B214" s="4" t="str">
        <f t="shared" si="46"/>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Evaluation'!$A$56:$K$346,3,0)&amp;""</f>
        <v/>
      </c>
      <c r="G214" s="4" t="str">
        <f>VLOOKUP($A214,'Institution Evaluation'!$A$56:$K$346,7,0)&amp;""</f>
        <v>Yes</v>
      </c>
      <c r="H214" s="4" t="str">
        <f>VLOOKUP($A214,'Institution Evaluation'!$A$56:$K$346,8,0)&amp;""</f>
        <v/>
      </c>
      <c r="I214" s="4" t="str">
        <f>VLOOKUP($A214,'Institution Evaluation'!$A$56:$K$346,9,0)&amp;""</f>
        <v>Standard Importance</v>
      </c>
      <c r="J214" s="4" t="str">
        <f>VLOOKUP($A214,'Institution Evaluation'!$A$56:$K$346,10,0)&amp;""</f>
        <v/>
      </c>
      <c r="K214" s="4">
        <f t="shared" si="47"/>
        <v>10</v>
      </c>
      <c r="L214" s="108">
        <f>IF($E214="Not Scored", "N/A",IF(AND($D214='Auto Responses'!$J$27,$H214=""),"N/A",IF(AND($D214='Auto Responses'!$J$27,$H214='Auto Responses'!$J$7),1,IF(AND($D214='Auto Responses'!$J$27,$H214='Auto Responses'!$J$8),0,IF(OR($F214=$G214,$H214='Auto Responses'!$J$7),1,0)))))</f>
        <v>0</v>
      </c>
      <c r="M214" s="4" t="str">
        <f>VLOOKUP($A214,'Institution Evaluation'!$A$56:$K$346,10,0)&amp;""</f>
        <v/>
      </c>
      <c r="N214" s="4">
        <f t="shared" si="48"/>
        <v>0</v>
      </c>
      <c r="O214" s="108" t="str">
        <f t="shared" si="41"/>
        <v>N/A</v>
      </c>
      <c r="P214" s="108" t="str">
        <f t="shared" si="49"/>
        <v>N/A</v>
      </c>
      <c r="Q214" s="108">
        <f t="shared" si="42"/>
        <v>0</v>
      </c>
      <c r="R214" s="108">
        <f t="shared" si="50"/>
        <v>0</v>
      </c>
      <c r="S214" s="108">
        <f t="shared" si="43"/>
        <v>0</v>
      </c>
      <c r="T214" s="108">
        <f t="shared" si="44"/>
        <v>0</v>
      </c>
      <c r="U214" s="108">
        <f t="shared" si="51"/>
        <v>60</v>
      </c>
      <c r="V214" s="108">
        <f t="shared" si="45"/>
        <v>0</v>
      </c>
    </row>
    <row r="215" spans="1:22" ht="57" x14ac:dyDescent="0.2">
      <c r="A215" s="4" t="str">
        <f>Questions!$A215</f>
        <v>HIPA-29</v>
      </c>
      <c r="B215" s="4" t="str">
        <f t="shared" si="46"/>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Evaluation'!$A$56:$K$346,3,0)&amp;""</f>
        <v/>
      </c>
      <c r="G215" s="4" t="str">
        <f>VLOOKUP($A215,'Institution Evaluation'!$A$56:$K$346,7,0)&amp;""</f>
        <v>Yes</v>
      </c>
      <c r="H215" s="4" t="str">
        <f>VLOOKUP($A215,'Institution Evaluation'!$A$56:$K$346,8,0)&amp;""</f>
        <v/>
      </c>
      <c r="I215" s="4" t="str">
        <f>VLOOKUP($A215,'Institution Evaluation'!$A$56:$K$346,9,0)&amp;""</f>
        <v>Minor Importance</v>
      </c>
      <c r="J215" s="4" t="str">
        <f>VLOOKUP($A215,'Institution Evaluation'!$A$56:$K$346,10,0)&amp;""</f>
        <v/>
      </c>
      <c r="K215" s="4">
        <f t="shared" si="47"/>
        <v>5</v>
      </c>
      <c r="L215" s="108">
        <f>IF($E215="Not Scored", "N/A",IF(AND($D215='Auto Responses'!$J$27,$H215=""),"N/A",IF(AND($D215='Auto Responses'!$J$27,$H215='Auto Responses'!$J$7),1,IF(AND($D215='Auto Responses'!$J$27,$H215='Auto Responses'!$J$8),0,IF(OR($F215=$G215,$H215='Auto Responses'!$J$7),1,0)))))</f>
        <v>0</v>
      </c>
      <c r="M215" s="4" t="str">
        <f>VLOOKUP($A215,'Institution Evaluation'!$A$56:$K$346,10,0)&amp;""</f>
        <v/>
      </c>
      <c r="N215" s="4">
        <f t="shared" si="48"/>
        <v>0</v>
      </c>
      <c r="O215" s="108" t="str">
        <f t="shared" si="41"/>
        <v>N/A</v>
      </c>
      <c r="P215" s="108" t="str">
        <f t="shared" si="49"/>
        <v>N/A</v>
      </c>
      <c r="Q215" s="108">
        <f t="shared" si="42"/>
        <v>0</v>
      </c>
      <c r="R215" s="108">
        <f t="shared" si="50"/>
        <v>0</v>
      </c>
      <c r="S215" s="108">
        <f t="shared" si="43"/>
        <v>0</v>
      </c>
      <c r="T215" s="108">
        <f t="shared" si="44"/>
        <v>0</v>
      </c>
      <c r="U215" s="108">
        <f t="shared" si="51"/>
        <v>60</v>
      </c>
      <c r="V215" s="108">
        <f t="shared" si="45"/>
        <v>0</v>
      </c>
    </row>
    <row r="216" spans="1:22" ht="57" x14ac:dyDescent="0.2">
      <c r="A216" s="4" t="str">
        <f>Questions!$A216</f>
        <v>PCID-01</v>
      </c>
      <c r="B216" s="4" t="str">
        <f t="shared" si="46"/>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Evaluation'!$A$56:$K$346,3,0)&amp;""</f>
        <v/>
      </c>
      <c r="G216" s="4" t="str">
        <f>VLOOKUP($A216,'Institution Evaluation'!$A$56:$K$346,7,0)&amp;""</f>
        <v>Yes</v>
      </c>
      <c r="H216" s="4" t="str">
        <f>VLOOKUP($A216,'Institution Evaluation'!$A$56:$K$346,8,0)&amp;""</f>
        <v/>
      </c>
      <c r="I216" s="4" t="str">
        <f>VLOOKUP($A216,'Institution Evaluation'!$A$56:$K$346,9,0)&amp;""</f>
        <v>Critical Importance</v>
      </c>
      <c r="J216" s="4" t="str">
        <f>VLOOKUP($A216,'Institution Evaluation'!$A$56:$K$346,10,0)&amp;""</f>
        <v/>
      </c>
      <c r="K216" s="4">
        <f t="shared" si="47"/>
        <v>20</v>
      </c>
      <c r="L216" s="108">
        <f>IF($E216="Not Scored", "N/A",IF(AND($D216='Auto Responses'!$J$27,$H216=""),"N/A",IF(AND($D216='Auto Responses'!$J$27,$H216='Auto Responses'!$J$7),1,IF(AND($D216='Auto Responses'!$J$27,$H216='Auto Responses'!$J$8),0,IF(OR($F216=$G216,$H216='Auto Responses'!$J$7),1,0)))))</f>
        <v>0</v>
      </c>
      <c r="M216" s="4" t="str">
        <f>VLOOKUP($A216,'Institution Evaluation'!$A$56:$K$346,10,0)&amp;""</f>
        <v/>
      </c>
      <c r="N216" s="4">
        <f t="shared" si="48"/>
        <v>1</v>
      </c>
      <c r="O216" s="108" t="str">
        <f>IF(OR($F$22="No",$E216="Not Scored"),"N/A",IF($J216="",$K216,IF($J216="Minor Importance",5,IF($J216="Standard Importance",10,IF($J216="Critical Importance",20,0)))))</f>
        <v>N/A</v>
      </c>
      <c r="P216" s="108" t="str">
        <f t="shared" si="49"/>
        <v>N/A</v>
      </c>
      <c r="Q216" s="108">
        <f t="shared" si="42"/>
        <v>0</v>
      </c>
      <c r="R216" s="108">
        <f t="shared" si="50"/>
        <v>0</v>
      </c>
      <c r="S216" s="108">
        <f t="shared" si="43"/>
        <v>0</v>
      </c>
      <c r="T216" s="108">
        <f t="shared" si="44"/>
        <v>1</v>
      </c>
      <c r="U216" s="108">
        <f t="shared" si="51"/>
        <v>61</v>
      </c>
      <c r="V216" s="108">
        <f t="shared" si="45"/>
        <v>61</v>
      </c>
    </row>
    <row r="217" spans="1:22" ht="57" x14ac:dyDescent="0.2">
      <c r="A217" s="4" t="str">
        <f>Questions!$A217</f>
        <v>PCID-02</v>
      </c>
      <c r="B217" s="4" t="str">
        <f t="shared" si="46"/>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Evaluation'!$A$56:$K$346,3,0)&amp;""</f>
        <v/>
      </c>
      <c r="G217" s="4" t="str">
        <f>VLOOKUP($A217,'Institution Evaluation'!$A$56:$K$346,7,0)&amp;""</f>
        <v>No</v>
      </c>
      <c r="H217" s="4" t="str">
        <f>VLOOKUP($A217,'Institution Evaluation'!$A$56:$K$346,8,0)&amp;""</f>
        <v/>
      </c>
      <c r="I217" s="4" t="str">
        <f>VLOOKUP($A217,'Institution Evaluation'!$A$56:$K$346,9,0)&amp;""</f>
        <v>Critical Importance</v>
      </c>
      <c r="J217" s="4" t="str">
        <f>VLOOKUP($A217,'Institution Evaluation'!$A$56:$K$346,10,0)&amp;""</f>
        <v/>
      </c>
      <c r="K217" s="4">
        <f t="shared" si="47"/>
        <v>20</v>
      </c>
      <c r="L217" s="108">
        <f>IF($E217="Not Scored", "N/A",IF(AND($D217='Auto Responses'!$J$27,$H217=""),"N/A",IF(AND($D217='Auto Responses'!$J$27,$H217='Auto Responses'!$J$7),1,IF(AND($D217='Auto Responses'!$J$27,$H217='Auto Responses'!$J$8),0,IF(OR($F217=$G217,$H217='Auto Responses'!$J$7),1,0)))))</f>
        <v>0</v>
      </c>
      <c r="M217" s="4" t="str">
        <f>VLOOKUP($A217,'Institution Evaluation'!$A$56:$K$346,10,0)&amp;""</f>
        <v/>
      </c>
      <c r="N217" s="4">
        <f t="shared" si="48"/>
        <v>1</v>
      </c>
      <c r="O217" s="108" t="str">
        <f t="shared" ref="O217:O227" si="52">IF(OR($F$22="No",$E217="Not Scored"),"N/A",IF($J217="",$K217,IF($J217="Minor Importance",5,IF($J217="Standard Importance",10,IF($J217="Critical Importance",20,0)))))</f>
        <v>N/A</v>
      </c>
      <c r="P217" s="108" t="str">
        <f t="shared" si="49"/>
        <v>N/A</v>
      </c>
      <c r="Q217" s="108">
        <f t="shared" si="42"/>
        <v>0</v>
      </c>
      <c r="R217" s="108">
        <f t="shared" si="50"/>
        <v>0</v>
      </c>
      <c r="S217" s="108">
        <f t="shared" si="43"/>
        <v>0</v>
      </c>
      <c r="T217" s="108">
        <f t="shared" si="44"/>
        <v>1</v>
      </c>
      <c r="U217" s="108">
        <f t="shared" si="51"/>
        <v>62</v>
      </c>
      <c r="V217" s="108">
        <f t="shared" si="45"/>
        <v>62</v>
      </c>
    </row>
    <row r="218" spans="1:22" ht="57" x14ac:dyDescent="0.2">
      <c r="A218" s="4" t="str">
        <f>Questions!$A218</f>
        <v>PCID-03</v>
      </c>
      <c r="B218" s="4" t="str">
        <f t="shared" si="46"/>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Evaluation'!$A$56:$K$346,3,0)&amp;""</f>
        <v/>
      </c>
      <c r="G218" s="4" t="str">
        <f>VLOOKUP($A218,'Institution Evaluation'!$A$56:$K$346,7,0)&amp;""</f>
        <v>No</v>
      </c>
      <c r="H218" s="4" t="str">
        <f>VLOOKUP($A218,'Institution Evaluation'!$A$56:$K$346,8,0)&amp;""</f>
        <v/>
      </c>
      <c r="I218" s="4" t="str">
        <f>VLOOKUP($A218,'Institution Evaluation'!$A$56:$K$346,9,0)&amp;""</f>
        <v>Critical Importance</v>
      </c>
      <c r="J218" s="4" t="str">
        <f>VLOOKUP($A218,'Institution Evaluation'!$A$56:$K$346,10,0)&amp;""</f>
        <v/>
      </c>
      <c r="K218" s="4">
        <f t="shared" si="47"/>
        <v>20</v>
      </c>
      <c r="L218" s="108">
        <f>IF($E218="Not Scored", "N/A",IF(AND($D218='Auto Responses'!$J$27,$H218=""),"N/A",IF(AND($D218='Auto Responses'!$J$27,$H218='Auto Responses'!$J$7),1,IF(AND($D218='Auto Responses'!$J$27,$H218='Auto Responses'!$J$8),0,IF(OR($F218=$G218,$H218='Auto Responses'!$J$7),1,0)))))</f>
        <v>0</v>
      </c>
      <c r="M218" s="4" t="str">
        <f>VLOOKUP($A218,'Institution Evaluation'!$A$56:$K$346,10,0)&amp;""</f>
        <v/>
      </c>
      <c r="N218" s="4">
        <f t="shared" si="48"/>
        <v>1</v>
      </c>
      <c r="O218" s="108" t="str">
        <f t="shared" si="52"/>
        <v>N/A</v>
      </c>
      <c r="P218" s="108" t="str">
        <f t="shared" si="49"/>
        <v>N/A</v>
      </c>
      <c r="Q218" s="108">
        <f t="shared" si="42"/>
        <v>0</v>
      </c>
      <c r="R218" s="108">
        <f t="shared" si="50"/>
        <v>0</v>
      </c>
      <c r="S218" s="108">
        <f t="shared" si="43"/>
        <v>0</v>
      </c>
      <c r="T218" s="108">
        <f t="shared" si="44"/>
        <v>1</v>
      </c>
      <c r="U218" s="108">
        <f t="shared" si="51"/>
        <v>63</v>
      </c>
      <c r="V218" s="108">
        <f t="shared" si="45"/>
        <v>63</v>
      </c>
    </row>
    <row r="219" spans="1:22" ht="57" x14ac:dyDescent="0.2">
      <c r="A219" s="4" t="str">
        <f>Questions!$A219</f>
        <v>PCID-04</v>
      </c>
      <c r="B219" s="4" t="str">
        <f t="shared" si="46"/>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Evaluation'!$A$56:$K$346,3,0)&amp;""</f>
        <v/>
      </c>
      <c r="G219" s="4" t="str">
        <f>VLOOKUP($A219,'Institution Evaluation'!$A$56:$K$346,7,0)&amp;""</f>
        <v>Yes</v>
      </c>
      <c r="H219" s="4" t="str">
        <f>VLOOKUP($A219,'Institution Evaluation'!$A$56:$K$346,8,0)&amp;""</f>
        <v/>
      </c>
      <c r="I219" s="4" t="str">
        <f>VLOOKUP($A219,'Institution Evaluation'!$A$56:$K$346,9,0)&amp;""</f>
        <v>Standard Importance</v>
      </c>
      <c r="J219" s="4" t="str">
        <f>VLOOKUP($A219,'Institution Evaluation'!$A$56:$K$346,10,0)&amp;""</f>
        <v/>
      </c>
      <c r="K219" s="4">
        <f t="shared" si="47"/>
        <v>10</v>
      </c>
      <c r="L219" s="108">
        <f>IF($E219="Not Scored", "N/A",IF(AND($D219='Auto Responses'!$J$27,$H219=""),"N/A",IF(AND($D219='Auto Responses'!$J$27,$H219='Auto Responses'!$J$7),1,IF(AND($D219='Auto Responses'!$J$27,$H219='Auto Responses'!$J$8),0,IF(OR($F219=$G219,$H219='Auto Responses'!$J$7),1,0)))))</f>
        <v>0</v>
      </c>
      <c r="M219" s="4" t="str">
        <f>VLOOKUP($A219,'Institution Evaluation'!$A$56:$K$346,10,0)&amp;""</f>
        <v/>
      </c>
      <c r="N219" s="4">
        <f t="shared" si="48"/>
        <v>0</v>
      </c>
      <c r="O219" s="108" t="str">
        <f t="shared" si="52"/>
        <v>N/A</v>
      </c>
      <c r="P219" s="108" t="str">
        <f t="shared" si="49"/>
        <v>N/A</v>
      </c>
      <c r="Q219" s="108">
        <f t="shared" si="42"/>
        <v>0</v>
      </c>
      <c r="R219" s="108">
        <f t="shared" si="50"/>
        <v>0</v>
      </c>
      <c r="S219" s="108">
        <f t="shared" si="43"/>
        <v>0</v>
      </c>
      <c r="T219" s="108">
        <f t="shared" si="44"/>
        <v>0</v>
      </c>
      <c r="U219" s="108">
        <f t="shared" si="51"/>
        <v>63</v>
      </c>
      <c r="V219" s="108">
        <f t="shared" si="45"/>
        <v>0</v>
      </c>
    </row>
    <row r="220" spans="1:22" ht="57" x14ac:dyDescent="0.2">
      <c r="A220" s="4" t="str">
        <f>Questions!$A220</f>
        <v>PCID-05</v>
      </c>
      <c r="B220" s="4" t="str">
        <f t="shared" si="46"/>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Evaluation'!$A$56:$K$346,3,0)&amp;""</f>
        <v/>
      </c>
      <c r="G220" s="4" t="str">
        <f>VLOOKUP($A220,'Institution Evaluation'!$A$56:$K$346,7,0)&amp;""</f>
        <v>Yes</v>
      </c>
      <c r="H220" s="4" t="str">
        <f>VLOOKUP($A220,'Institution Evaluation'!$A$56:$K$346,8,0)&amp;""</f>
        <v/>
      </c>
      <c r="I220" s="4" t="str">
        <f>VLOOKUP($A220,'Institution Evaluation'!$A$56:$K$346,9,0)&amp;""</f>
        <v>Standard Importance</v>
      </c>
      <c r="J220" s="4" t="str">
        <f>VLOOKUP($A220,'Institution Evaluation'!$A$56:$K$346,10,0)&amp;""</f>
        <v/>
      </c>
      <c r="K220" s="4">
        <f t="shared" si="47"/>
        <v>10</v>
      </c>
      <c r="L220" s="108">
        <f>IF($E220="Not Scored", "N/A",IF(AND($D220='Auto Responses'!$J$27,$H220=""),"N/A",IF(AND($D220='Auto Responses'!$J$27,$H220='Auto Responses'!$J$7),1,IF(AND($D220='Auto Responses'!$J$27,$H220='Auto Responses'!$J$8),0,IF(OR($F220=$G220,$H220='Auto Responses'!$J$7),1,0)))))</f>
        <v>0</v>
      </c>
      <c r="M220" s="4" t="str">
        <f>VLOOKUP($A220,'Institution Evaluation'!$A$56:$K$346,10,0)&amp;""</f>
        <v/>
      </c>
      <c r="N220" s="4">
        <f t="shared" si="48"/>
        <v>0</v>
      </c>
      <c r="O220" s="108" t="str">
        <f t="shared" si="52"/>
        <v>N/A</v>
      </c>
      <c r="P220" s="108" t="str">
        <f t="shared" si="49"/>
        <v>N/A</v>
      </c>
      <c r="Q220" s="108">
        <f t="shared" si="42"/>
        <v>0</v>
      </c>
      <c r="R220" s="108">
        <f t="shared" si="50"/>
        <v>0</v>
      </c>
      <c r="S220" s="108">
        <f t="shared" si="43"/>
        <v>0</v>
      </c>
      <c r="T220" s="108">
        <f t="shared" si="44"/>
        <v>0</v>
      </c>
      <c r="U220" s="108">
        <f t="shared" si="51"/>
        <v>63</v>
      </c>
      <c r="V220" s="108">
        <f t="shared" si="45"/>
        <v>0</v>
      </c>
    </row>
    <row r="221" spans="1:22" ht="57" x14ac:dyDescent="0.2">
      <c r="A221" s="4" t="str">
        <f>Questions!$A221</f>
        <v>PCID-06</v>
      </c>
      <c r="B221" s="4" t="str">
        <f t="shared" si="46"/>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Evaluation'!$A$56:$K$346,3,0)&amp;""</f>
        <v/>
      </c>
      <c r="G221" s="4" t="str">
        <f>VLOOKUP($A221,'Institution Evaluation'!$A$56:$K$346,7,0)&amp;""</f>
        <v>Yes</v>
      </c>
      <c r="H221" s="4" t="str">
        <f>VLOOKUP($A221,'Institution Evaluation'!$A$56:$K$346,8,0)&amp;""</f>
        <v/>
      </c>
      <c r="I221" s="4" t="str">
        <f>VLOOKUP($A221,'Institution Evaluation'!$A$56:$K$346,9,0)&amp;""</f>
        <v>Standard Importance</v>
      </c>
      <c r="J221" s="4" t="str">
        <f>VLOOKUP($A221,'Institution Evaluation'!$A$56:$K$346,10,0)&amp;""</f>
        <v/>
      </c>
      <c r="K221" s="4">
        <f t="shared" si="47"/>
        <v>10</v>
      </c>
      <c r="L221" s="108">
        <f>IF($E221="Not Scored", "N/A",IF(AND($D221='Auto Responses'!$J$27,$H221=""),"N/A",IF(AND($D221='Auto Responses'!$J$27,$H221='Auto Responses'!$J$7),1,IF(AND($D221='Auto Responses'!$J$27,$H221='Auto Responses'!$J$8),0,IF(OR($F221=$G221,$H221='Auto Responses'!$J$7),1,0)))))</f>
        <v>0</v>
      </c>
      <c r="M221" s="4" t="str">
        <f>VLOOKUP($A221,'Institution Evaluation'!$A$56:$K$346,10,0)&amp;""</f>
        <v/>
      </c>
      <c r="N221" s="4">
        <f t="shared" si="48"/>
        <v>0</v>
      </c>
      <c r="O221" s="108" t="str">
        <f t="shared" si="52"/>
        <v>N/A</v>
      </c>
      <c r="P221" s="108" t="str">
        <f t="shared" si="49"/>
        <v>N/A</v>
      </c>
      <c r="Q221" s="108">
        <f t="shared" si="42"/>
        <v>0</v>
      </c>
      <c r="R221" s="108">
        <f t="shared" si="50"/>
        <v>0</v>
      </c>
      <c r="S221" s="108">
        <f t="shared" si="43"/>
        <v>0</v>
      </c>
      <c r="T221" s="108">
        <f t="shared" si="44"/>
        <v>0</v>
      </c>
      <c r="U221" s="108">
        <f t="shared" si="51"/>
        <v>63</v>
      </c>
      <c r="V221" s="108">
        <f t="shared" si="45"/>
        <v>0</v>
      </c>
    </row>
    <row r="222" spans="1:22" ht="57" x14ac:dyDescent="0.2">
      <c r="A222" s="4" t="str">
        <f>Questions!$A222</f>
        <v>PCID-07</v>
      </c>
      <c r="B222" s="4" t="str">
        <f t="shared" si="46"/>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Evaluation'!$A$56:$K$346,3,0)&amp;""</f>
        <v/>
      </c>
      <c r="G222" s="4" t="str">
        <f>VLOOKUP($A222,'Institution Evaluation'!$A$56:$K$346,7,0)&amp;""</f>
        <v>Yes</v>
      </c>
      <c r="H222" s="4" t="str">
        <f>VLOOKUP($A222,'Institution Evaluation'!$A$56:$K$346,8,0)&amp;""</f>
        <v/>
      </c>
      <c r="I222" s="4" t="str">
        <f>VLOOKUP($A222,'Institution Evaluation'!$A$56:$K$346,9,0)&amp;""</f>
        <v>Standard Importance</v>
      </c>
      <c r="J222" s="4" t="str">
        <f>VLOOKUP($A222,'Institution Evaluation'!$A$56:$K$346,10,0)&amp;""</f>
        <v/>
      </c>
      <c r="K222" s="4">
        <f t="shared" si="47"/>
        <v>10</v>
      </c>
      <c r="L222" s="108">
        <f>IF($E222="Not Scored", "N/A",IF(AND($D222='Auto Responses'!$J$27,$H222=""),"N/A",IF(AND($D222='Auto Responses'!$J$27,$H222='Auto Responses'!$J$7),1,IF(AND($D222='Auto Responses'!$J$27,$H222='Auto Responses'!$J$8),0,IF(OR($F222=$G222,$H222='Auto Responses'!$J$7),1,0)))))</f>
        <v>0</v>
      </c>
      <c r="M222" s="4" t="str">
        <f>VLOOKUP($A222,'Institution Evaluation'!$A$56:$K$346,10,0)&amp;""</f>
        <v/>
      </c>
      <c r="N222" s="4">
        <f t="shared" si="48"/>
        <v>0</v>
      </c>
      <c r="O222" s="108" t="str">
        <f t="shared" si="52"/>
        <v>N/A</v>
      </c>
      <c r="P222" s="108" t="str">
        <f t="shared" si="49"/>
        <v>N/A</v>
      </c>
      <c r="Q222" s="108">
        <f t="shared" si="42"/>
        <v>0</v>
      </c>
      <c r="R222" s="108">
        <f t="shared" si="50"/>
        <v>0</v>
      </c>
      <c r="S222" s="108">
        <f t="shared" si="43"/>
        <v>0</v>
      </c>
      <c r="T222" s="108">
        <f t="shared" si="44"/>
        <v>0</v>
      </c>
      <c r="U222" s="108">
        <f t="shared" si="51"/>
        <v>63</v>
      </c>
      <c r="V222" s="108">
        <f t="shared" si="45"/>
        <v>0</v>
      </c>
    </row>
    <row r="223" spans="1:22" ht="57" x14ac:dyDescent="0.2">
      <c r="A223" s="4" t="str">
        <f>Questions!$A223</f>
        <v>PCID-08</v>
      </c>
      <c r="B223" s="4" t="str">
        <f t="shared" si="46"/>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Evaluation'!$A$56:$K$346,3,0)&amp;""</f>
        <v/>
      </c>
      <c r="G223" s="4" t="str">
        <f>VLOOKUP($A223,'Institution Evaluation'!$A$56:$K$346,7,0)&amp;""</f>
        <v>Yes</v>
      </c>
      <c r="H223" s="4" t="str">
        <f>VLOOKUP($A223,'Institution Evaluation'!$A$56:$K$346,8,0)&amp;""</f>
        <v/>
      </c>
      <c r="I223" s="4" t="str">
        <f>VLOOKUP($A223,'Institution Evaluation'!$A$56:$K$346,9,0)&amp;""</f>
        <v>Standard Importance</v>
      </c>
      <c r="J223" s="4" t="str">
        <f>VLOOKUP($A223,'Institution Evaluation'!$A$56:$K$346,10,0)&amp;""</f>
        <v/>
      </c>
      <c r="K223" s="4">
        <f t="shared" si="47"/>
        <v>10</v>
      </c>
      <c r="L223" s="108">
        <f>IF($E223="Not Scored", "N/A",IF(AND($D223='Auto Responses'!$J$27,$H223=""),"N/A",IF(AND($D223='Auto Responses'!$J$27,$H223='Auto Responses'!$J$7),1,IF(AND($D223='Auto Responses'!$J$27,$H223='Auto Responses'!$J$8),0,IF(OR($F223=$G223,$H223='Auto Responses'!$J$7),1,0)))))</f>
        <v>0</v>
      </c>
      <c r="M223" s="4" t="str">
        <f>VLOOKUP($A223,'Institution Evaluation'!$A$56:$K$346,10,0)&amp;""</f>
        <v/>
      </c>
      <c r="N223" s="4">
        <f t="shared" si="48"/>
        <v>0</v>
      </c>
      <c r="O223" s="108" t="str">
        <f t="shared" si="52"/>
        <v>N/A</v>
      </c>
      <c r="P223" s="108" t="str">
        <f t="shared" si="49"/>
        <v>N/A</v>
      </c>
      <c r="Q223" s="108">
        <f t="shared" si="42"/>
        <v>0</v>
      </c>
      <c r="R223" s="108">
        <f t="shared" si="50"/>
        <v>0</v>
      </c>
      <c r="S223" s="108">
        <f t="shared" si="43"/>
        <v>0</v>
      </c>
      <c r="T223" s="108">
        <f t="shared" si="44"/>
        <v>0</v>
      </c>
      <c r="U223" s="108">
        <f t="shared" si="51"/>
        <v>63</v>
      </c>
      <c r="V223" s="108">
        <f t="shared" si="45"/>
        <v>0</v>
      </c>
    </row>
    <row r="224" spans="1:22" ht="57" x14ac:dyDescent="0.2">
      <c r="A224" s="4" t="str">
        <f>Questions!$A224</f>
        <v>PCID-09</v>
      </c>
      <c r="B224" s="4" t="str">
        <f t="shared" si="46"/>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Evaluation'!$A$56:$K$346,3,0)&amp;""</f>
        <v/>
      </c>
      <c r="G224" s="4" t="str">
        <f>VLOOKUP($A224,'Institution Evaluation'!$A$56:$K$346,7,0)&amp;""</f>
        <v>Not scored</v>
      </c>
      <c r="H224" s="4" t="str">
        <f>VLOOKUP($A224,'Institution Evaluation'!$A$56:$K$346,8,0)&amp;""</f>
        <v/>
      </c>
      <c r="I224" s="4" t="str">
        <f>VLOOKUP($A224,'Institution Evaluation'!$A$56:$K$346,9,0)&amp;""</f>
        <v/>
      </c>
      <c r="J224" s="4" t="str">
        <f>VLOOKUP($A224,'Institution Evaluation'!$A$56:$K$346,10,0)&amp;""</f>
        <v/>
      </c>
      <c r="K224" s="4">
        <f t="shared" si="47"/>
        <v>10</v>
      </c>
      <c r="L224" s="108" t="str">
        <f>IF($E224="Not Scored", "N/A",IF(AND($D224='Auto Responses'!$J$27,$H224=""),"N/A",IF(AND($D224='Auto Responses'!$J$27,$H224='Auto Responses'!$J$7),1,IF(AND($D224='Auto Responses'!$J$27,$H224='Auto Responses'!$J$8),0,IF(OR($F224=$G224,$H224='Auto Responses'!$J$7),1,0)))))</f>
        <v>N/A</v>
      </c>
      <c r="M224" s="4" t="str">
        <f>VLOOKUP($A224,'Institution Evaluation'!$A$56:$K$346,10,0)&amp;""</f>
        <v/>
      </c>
      <c r="N224" s="4">
        <f t="shared" si="48"/>
        <v>0</v>
      </c>
      <c r="O224" s="108" t="str">
        <f t="shared" si="52"/>
        <v>N/A</v>
      </c>
      <c r="P224" s="108" t="str">
        <f t="shared" si="49"/>
        <v>N/A</v>
      </c>
      <c r="Q224" s="108">
        <f t="shared" si="42"/>
        <v>0</v>
      </c>
      <c r="R224" s="108">
        <f t="shared" si="50"/>
        <v>0</v>
      </c>
      <c r="S224" s="108">
        <f t="shared" si="43"/>
        <v>0</v>
      </c>
      <c r="T224" s="108">
        <f t="shared" si="44"/>
        <v>0</v>
      </c>
      <c r="U224" s="108">
        <f t="shared" si="51"/>
        <v>63</v>
      </c>
      <c r="V224" s="108">
        <f t="shared" si="45"/>
        <v>0</v>
      </c>
    </row>
    <row r="225" spans="1:22" ht="57" x14ac:dyDescent="0.2">
      <c r="A225" s="4" t="str">
        <f>Questions!$A225</f>
        <v>PCID-10</v>
      </c>
      <c r="B225" s="4" t="str">
        <f t="shared" si="46"/>
        <v>PCID</v>
      </c>
      <c r="C225" s="4" t="str">
        <f>VLOOKUP($A225,Questions!$A$3:$L$333,2,0)&amp;""</f>
        <v>What payment processors/gateways does the system support?</v>
      </c>
      <c r="D225" s="4" t="str">
        <f>VLOOKUP($A225,Questions!$A$3:$L$333,11,0)&amp;""</f>
        <v/>
      </c>
      <c r="E225" s="4" t="str">
        <f>VLOOKUP($A225,Questions!$A$3:$L$333,12,0)&amp;""</f>
        <v>Case-Specific</v>
      </c>
      <c r="F225" s="4" t="str">
        <f>VLOOKUP($A225,'Institution Evaluation'!$A$56:$K$346,3,0)&amp;""</f>
        <v/>
      </c>
      <c r="G225" s="4" t="str">
        <f>VLOOKUP($A225,'Institution Evaluation'!$A$56:$K$346,7,0)&amp;""</f>
        <v>Not scored</v>
      </c>
      <c r="H225" s="4" t="str">
        <f>VLOOKUP($A225,'Institution Evaluation'!$A$56:$K$346,8,0)&amp;""</f>
        <v/>
      </c>
      <c r="I225" s="4" t="str">
        <f>VLOOKUP($A225,'Institution Evaluation'!$A$56:$K$346,9,0)&amp;""</f>
        <v/>
      </c>
      <c r="J225" s="4" t="str">
        <f>VLOOKUP($A225,'Institution Evaluation'!$A$56:$K$346,10,0)&amp;""</f>
        <v/>
      </c>
      <c r="K225" s="4">
        <f t="shared" si="47"/>
        <v>10</v>
      </c>
      <c r="L225" s="108">
        <f>IF($E225="Not Scored", "N/A",IF(AND($D225='Auto Responses'!$J$27,$H225=""),"N/A",IF(AND($D225='Auto Responses'!$J$27,$H225='Auto Responses'!$J$7),1,IF(AND($D225='Auto Responses'!$J$27,$H225='Auto Responses'!$J$8),0,IF(OR($F225=$G225,$H225='Auto Responses'!$J$7),1,0)))))</f>
        <v>0</v>
      </c>
      <c r="M225" s="4" t="str">
        <f>VLOOKUP($A225,'Institution Evaluation'!$A$56:$K$346,10,0)&amp;""</f>
        <v/>
      </c>
      <c r="N225" s="4">
        <f t="shared" si="48"/>
        <v>0</v>
      </c>
      <c r="O225" s="108" t="str">
        <f t="shared" si="52"/>
        <v>N/A</v>
      </c>
      <c r="P225" s="108" t="str">
        <f t="shared" si="49"/>
        <v>N/A</v>
      </c>
      <c r="Q225" s="108">
        <f t="shared" si="42"/>
        <v>0</v>
      </c>
      <c r="R225" s="108">
        <f t="shared" si="50"/>
        <v>0</v>
      </c>
      <c r="S225" s="108">
        <f t="shared" si="43"/>
        <v>0</v>
      </c>
      <c r="T225" s="108">
        <f t="shared" si="44"/>
        <v>0</v>
      </c>
      <c r="U225" s="108">
        <f t="shared" si="51"/>
        <v>63</v>
      </c>
      <c r="V225" s="108">
        <f t="shared" si="45"/>
        <v>0</v>
      </c>
    </row>
    <row r="226" spans="1:22" ht="57" x14ac:dyDescent="0.2">
      <c r="A226" s="4" t="str">
        <f>Questions!$A226</f>
        <v>PCID-11</v>
      </c>
      <c r="B226" s="4" t="str">
        <f t="shared" si="46"/>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Evaluation'!$A$56:$K$346,3,0)&amp;""</f>
        <v/>
      </c>
      <c r="G226" s="4" t="str">
        <f>VLOOKUP($A226,'Institution Evaluation'!$A$56:$K$346,7,0)&amp;""</f>
        <v>Yes</v>
      </c>
      <c r="H226" s="4" t="str">
        <f>VLOOKUP($A226,'Institution Evaluation'!$A$56:$K$346,8,0)&amp;""</f>
        <v/>
      </c>
      <c r="I226" s="4" t="str">
        <f>VLOOKUP($A226,'Institution Evaluation'!$A$56:$K$346,9,0)&amp;""</f>
        <v>Minor Importance</v>
      </c>
      <c r="J226" s="4" t="str">
        <f>VLOOKUP($A226,'Institution Evaluation'!$A$56:$K$346,10,0)&amp;""</f>
        <v/>
      </c>
      <c r="K226" s="4">
        <f t="shared" si="47"/>
        <v>5</v>
      </c>
      <c r="L226" s="108">
        <f>IF($E226="Not Scored", "N/A",IF(AND($D226='Auto Responses'!$J$27,$H226=""),"N/A",IF(AND($D226='Auto Responses'!$J$27,$H226='Auto Responses'!$J$7),1,IF(AND($D226='Auto Responses'!$J$27,$H226='Auto Responses'!$J$8),0,IF(OR($F226=$G226,$H226='Auto Responses'!$J$7),1,0)))))</f>
        <v>0</v>
      </c>
      <c r="M226" s="4" t="str">
        <f>VLOOKUP($A226,'Institution Evaluation'!$A$56:$K$346,10,0)&amp;""</f>
        <v/>
      </c>
      <c r="N226" s="4">
        <f t="shared" si="48"/>
        <v>0</v>
      </c>
      <c r="O226" s="108" t="str">
        <f t="shared" si="52"/>
        <v>N/A</v>
      </c>
      <c r="P226" s="108" t="str">
        <f t="shared" si="49"/>
        <v>N/A</v>
      </c>
      <c r="Q226" s="108">
        <f t="shared" si="42"/>
        <v>0</v>
      </c>
      <c r="R226" s="108">
        <f t="shared" si="50"/>
        <v>0</v>
      </c>
      <c r="S226" s="108">
        <f t="shared" si="43"/>
        <v>0</v>
      </c>
      <c r="T226" s="108">
        <f t="shared" si="44"/>
        <v>0</v>
      </c>
      <c r="U226" s="108">
        <f t="shared" si="51"/>
        <v>63</v>
      </c>
      <c r="V226" s="108">
        <f t="shared" si="45"/>
        <v>0</v>
      </c>
    </row>
    <row r="227" spans="1:22" ht="71.25" x14ac:dyDescent="0.2">
      <c r="A227" s="4" t="str">
        <f>Questions!$A227</f>
        <v>PCID-12</v>
      </c>
      <c r="B227" s="4" t="str">
        <f t="shared" si="46"/>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Evaluation'!$A$56:$K$346,3,0)&amp;""</f>
        <v/>
      </c>
      <c r="G227" s="4" t="str">
        <f>VLOOKUP($A227,'Institution Evaluation'!$A$56:$K$346,7,0)&amp;""</f>
        <v>Not scored</v>
      </c>
      <c r="H227" s="4" t="str">
        <f>VLOOKUP($A227,'Institution Evaluation'!$A$56:$K$346,8,0)&amp;""</f>
        <v/>
      </c>
      <c r="I227" s="4" t="str">
        <f>VLOOKUP($A227,'Institution Evaluation'!$A$56:$K$346,9,0)&amp;""</f>
        <v/>
      </c>
      <c r="J227" s="4" t="str">
        <f>VLOOKUP($A227,'Institution Evaluation'!$A$56:$K$346,10,0)&amp;""</f>
        <v/>
      </c>
      <c r="K227" s="4">
        <f t="shared" si="47"/>
        <v>10</v>
      </c>
      <c r="L227" s="108" t="str">
        <f>IF($E227="Not Scored", "N/A",IF(AND($D227='Auto Responses'!$J$27,$H227=""),"N/A",IF(AND($D227='Auto Responses'!$J$27,$H227='Auto Responses'!$J$7),1,IF(AND($D227='Auto Responses'!$J$27,$H227='Auto Responses'!$J$8),0,IF(OR($F227=$G227,$H227='Auto Responses'!$J$7),1,0)))))</f>
        <v>N/A</v>
      </c>
      <c r="M227" s="4" t="str">
        <f>VLOOKUP($A227,'Institution Evaluation'!$A$56:$K$346,10,0)&amp;""</f>
        <v/>
      </c>
      <c r="N227" s="4">
        <f t="shared" si="48"/>
        <v>0</v>
      </c>
      <c r="O227" s="108" t="str">
        <f t="shared" si="52"/>
        <v>N/A</v>
      </c>
      <c r="P227" s="108" t="str">
        <f t="shared" si="49"/>
        <v>N/A</v>
      </c>
      <c r="Q227" s="108">
        <f t="shared" si="42"/>
        <v>0</v>
      </c>
      <c r="R227" s="108">
        <f t="shared" si="50"/>
        <v>0</v>
      </c>
      <c r="S227" s="108">
        <f t="shared" si="43"/>
        <v>0</v>
      </c>
      <c r="T227" s="108">
        <f t="shared" si="44"/>
        <v>0</v>
      </c>
      <c r="U227" s="108">
        <f t="shared" si="51"/>
        <v>63</v>
      </c>
      <c r="V227" s="108">
        <f t="shared" si="45"/>
        <v>0</v>
      </c>
    </row>
    <row r="228" spans="1:22" ht="57" x14ac:dyDescent="0.2">
      <c r="A228" s="4" t="str">
        <f>Questions!$A228</f>
        <v>OPEM-01</v>
      </c>
      <c r="B228" s="4" t="str">
        <f t="shared" si="46"/>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Evaluation'!$A$56:$K$346,3,0)&amp;""</f>
        <v/>
      </c>
      <c r="G228" s="4" t="str">
        <f>VLOOKUP($A228,'Institution Evaluation'!$A$56:$K$346,7,0)&amp;""</f>
        <v>Yes</v>
      </c>
      <c r="H228" s="4" t="str">
        <f>VLOOKUP($A228,'Institution Evaluation'!$A$56:$K$346,8,0)&amp;""</f>
        <v/>
      </c>
      <c r="I228" s="4" t="str">
        <f>VLOOKUP($A228,'Institution Evaluation'!$A$56:$K$346,9,0)&amp;""</f>
        <v>Standard Importance</v>
      </c>
      <c r="J228" s="4" t="str">
        <f>VLOOKUP($A228,'Institution Evaluation'!$A$56:$K$346,10,0)&amp;""</f>
        <v/>
      </c>
      <c r="K228" s="4">
        <f t="shared" si="47"/>
        <v>10</v>
      </c>
      <c r="L228" s="108">
        <f>IF($E228="Not Scored", "N/A",IF(AND($D228='Auto Responses'!$J$27,$H228=""),"N/A",IF(AND($D228='Auto Responses'!$J$27,$H228='Auto Responses'!$J$7),1,IF(AND($D228='Auto Responses'!$J$27,$H228='Auto Responses'!$J$8),0,IF(OR($F228=$G228,$H228='Auto Responses'!$J$7),1,0)))))</f>
        <v>0</v>
      </c>
      <c r="M228" s="4" t="str">
        <f>VLOOKUP($A228,'Institution Evaluation'!$A$56:$K$346,10,0)&amp;""</f>
        <v/>
      </c>
      <c r="N228" s="4">
        <f t="shared" si="48"/>
        <v>0</v>
      </c>
      <c r="O228" s="108" t="str">
        <f>IF(OR($F$23="No",$E228="Not Scored"),"N/A",IF($J228="",$K228,IF($J228="Minor Importance",5,IF($J228="Standard Importance",10,IF($J228="Critical Importance",20,0)))))</f>
        <v>N/A</v>
      </c>
      <c r="P228" s="108" t="str">
        <f t="shared" si="49"/>
        <v>N/A</v>
      </c>
      <c r="Q228" s="108">
        <f t="shared" si="42"/>
        <v>0</v>
      </c>
      <c r="R228" s="108">
        <f t="shared" si="50"/>
        <v>0</v>
      </c>
      <c r="S228" s="108">
        <f t="shared" si="43"/>
        <v>0</v>
      </c>
      <c r="T228" s="108">
        <f t="shared" si="44"/>
        <v>0</v>
      </c>
      <c r="U228" s="108">
        <f t="shared" si="51"/>
        <v>63</v>
      </c>
      <c r="V228" s="108">
        <f t="shared" si="45"/>
        <v>0</v>
      </c>
    </row>
    <row r="229" spans="1:22" ht="57" x14ac:dyDescent="0.2">
      <c r="A229" s="4" t="str">
        <f>Questions!$A229</f>
        <v>OPEM-02</v>
      </c>
      <c r="B229" s="4" t="str">
        <f t="shared" si="46"/>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Evaluation'!$A$56:$K$346,3,0)&amp;""</f>
        <v/>
      </c>
      <c r="G229" s="4" t="str">
        <f>VLOOKUP($A229,'Institution Evaluation'!$A$56:$K$346,7,0)&amp;""</f>
        <v>No</v>
      </c>
      <c r="H229" s="4" t="str">
        <f>VLOOKUP($A229,'Institution Evaluation'!$A$56:$K$346,8,0)&amp;""</f>
        <v/>
      </c>
      <c r="I229" s="4" t="str">
        <f>VLOOKUP($A229,'Institution Evaluation'!$A$56:$K$346,9,0)&amp;""</f>
        <v>Standard Importance</v>
      </c>
      <c r="J229" s="4" t="str">
        <f>VLOOKUP($A229,'Institution Evaluation'!$A$56:$K$346,10,0)&amp;""</f>
        <v/>
      </c>
      <c r="K229" s="4">
        <f t="shared" si="47"/>
        <v>10</v>
      </c>
      <c r="L229" s="108">
        <f>IF($E229="Not Scored", "N/A",IF(AND($D229='Auto Responses'!$J$27,$H229=""),"N/A",IF(AND($D229='Auto Responses'!$J$27,$H229='Auto Responses'!$J$7),1,IF(AND($D229='Auto Responses'!$J$27,$H229='Auto Responses'!$J$8),0,IF(OR($F229=$G229,$H229='Auto Responses'!$J$7),1,0)))))</f>
        <v>0</v>
      </c>
      <c r="M229" s="4" t="str">
        <f>VLOOKUP($A229,'Institution Evaluation'!$A$56:$K$346,10,0)&amp;""</f>
        <v/>
      </c>
      <c r="N229" s="4">
        <f t="shared" si="48"/>
        <v>0</v>
      </c>
      <c r="O229" s="108" t="str">
        <f t="shared" ref="O229:O237" si="53">IF(OR($F$23="No",$E229="Not Scored"),"N/A",IF($J229="",$K229,IF($J229="Minor Importance",5,IF($J229="Standard Importance",10,IF($J229="Critical Importance",20,0)))))</f>
        <v>N/A</v>
      </c>
      <c r="P229" s="108" t="str">
        <f t="shared" si="49"/>
        <v>N/A</v>
      </c>
      <c r="Q229" s="108">
        <f t="shared" si="42"/>
        <v>0</v>
      </c>
      <c r="R229" s="108">
        <f t="shared" si="50"/>
        <v>0</v>
      </c>
      <c r="S229" s="108">
        <f t="shared" si="43"/>
        <v>0</v>
      </c>
      <c r="T229" s="108">
        <f t="shared" si="44"/>
        <v>0</v>
      </c>
      <c r="U229" s="108">
        <f t="shared" si="51"/>
        <v>63</v>
      </c>
      <c r="V229" s="108">
        <f t="shared" si="45"/>
        <v>0</v>
      </c>
    </row>
    <row r="230" spans="1:22" ht="57" x14ac:dyDescent="0.2">
      <c r="A230" s="4" t="str">
        <f>Questions!$A230</f>
        <v>OPEM-03</v>
      </c>
      <c r="B230" s="4" t="str">
        <f t="shared" si="46"/>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Evaluation'!$A$56:$K$346,3,0)&amp;""</f>
        <v/>
      </c>
      <c r="G230" s="4" t="str">
        <f>VLOOKUP($A230,'Institution Evaluation'!$A$56:$K$346,7,0)&amp;""</f>
        <v>Yes</v>
      </c>
      <c r="H230" s="4" t="str">
        <f>VLOOKUP($A230,'Institution Evaluation'!$A$56:$K$346,8,0)&amp;""</f>
        <v/>
      </c>
      <c r="I230" s="4" t="str">
        <f>VLOOKUP($A230,'Institution Evaluation'!$A$56:$K$346,9,0)&amp;""</f>
        <v>Standard Importance</v>
      </c>
      <c r="J230" s="4" t="str">
        <f>VLOOKUP($A230,'Institution Evaluation'!$A$56:$K$346,10,0)&amp;""</f>
        <v/>
      </c>
      <c r="K230" s="4">
        <f t="shared" si="47"/>
        <v>10</v>
      </c>
      <c r="L230" s="108">
        <f>IF($E230="Not Scored", "N/A",IF(AND($D230='Auto Responses'!$J$27,$H230=""),"N/A",IF(AND($D230='Auto Responses'!$J$27,$H230='Auto Responses'!$J$7),1,IF(AND($D230='Auto Responses'!$J$27,$H230='Auto Responses'!$J$8),0,IF(OR($F230=$G230,$H230='Auto Responses'!$J$7),1,0)))))</f>
        <v>0</v>
      </c>
      <c r="M230" s="4" t="str">
        <f>VLOOKUP($A230,'Institution Evaluation'!$A$56:$K$346,10,0)&amp;""</f>
        <v/>
      </c>
      <c r="N230" s="4">
        <f t="shared" si="48"/>
        <v>0</v>
      </c>
      <c r="O230" s="108" t="str">
        <f t="shared" si="53"/>
        <v>N/A</v>
      </c>
      <c r="P230" s="108" t="str">
        <f t="shared" si="49"/>
        <v>N/A</v>
      </c>
      <c r="Q230" s="108">
        <f t="shared" si="42"/>
        <v>0</v>
      </c>
      <c r="R230" s="108">
        <f t="shared" si="50"/>
        <v>0</v>
      </c>
      <c r="S230" s="108">
        <f t="shared" si="43"/>
        <v>0</v>
      </c>
      <c r="T230" s="108">
        <f t="shared" si="44"/>
        <v>0</v>
      </c>
      <c r="U230" s="108">
        <f t="shared" si="51"/>
        <v>63</v>
      </c>
      <c r="V230" s="108">
        <f t="shared" si="45"/>
        <v>0</v>
      </c>
    </row>
    <row r="231" spans="1:22" ht="57" x14ac:dyDescent="0.2">
      <c r="A231" s="4" t="str">
        <f>Questions!$A231</f>
        <v>OPEM-04</v>
      </c>
      <c r="B231" s="4" t="str">
        <f t="shared" si="46"/>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Evaluation'!$A$56:$K$346,3,0)&amp;""</f>
        <v/>
      </c>
      <c r="G231" s="4" t="str">
        <f>VLOOKUP($A231,'Institution Evaluation'!$A$56:$K$346,7,0)&amp;""</f>
        <v>No</v>
      </c>
      <c r="H231" s="4" t="str">
        <f>VLOOKUP($A231,'Institution Evaluation'!$A$56:$K$346,8,0)&amp;""</f>
        <v/>
      </c>
      <c r="I231" s="4" t="str">
        <f>VLOOKUP($A231,'Institution Evaluation'!$A$56:$K$346,9,0)&amp;""</f>
        <v>Standard Importance</v>
      </c>
      <c r="J231" s="4" t="str">
        <f>VLOOKUP($A231,'Institution Evaluation'!$A$56:$K$346,10,0)&amp;""</f>
        <v/>
      </c>
      <c r="K231" s="4">
        <f t="shared" si="47"/>
        <v>10</v>
      </c>
      <c r="L231" s="108">
        <f>IF($E231="Not Scored", "N/A",IF(AND($D231='Auto Responses'!$J$27,$H231=""),"N/A",IF(AND($D231='Auto Responses'!$J$27,$H231='Auto Responses'!$J$7),1,IF(AND($D231='Auto Responses'!$J$27,$H231='Auto Responses'!$J$8),0,IF(OR($F231=$G231,$H231='Auto Responses'!$J$7),1,0)))))</f>
        <v>0</v>
      </c>
      <c r="M231" s="4" t="str">
        <f>VLOOKUP($A231,'Institution Evaluation'!$A$56:$K$346,10,0)&amp;""</f>
        <v/>
      </c>
      <c r="N231" s="4">
        <f t="shared" si="48"/>
        <v>0</v>
      </c>
      <c r="O231" s="108" t="str">
        <f t="shared" si="53"/>
        <v>N/A</v>
      </c>
      <c r="P231" s="108" t="str">
        <f t="shared" si="49"/>
        <v>N/A</v>
      </c>
      <c r="Q231" s="108">
        <f t="shared" si="42"/>
        <v>0</v>
      </c>
      <c r="R231" s="108">
        <f t="shared" si="50"/>
        <v>0</v>
      </c>
      <c r="S231" s="108">
        <f t="shared" si="43"/>
        <v>0</v>
      </c>
      <c r="T231" s="108">
        <f t="shared" si="44"/>
        <v>0</v>
      </c>
      <c r="U231" s="108">
        <f t="shared" si="51"/>
        <v>63</v>
      </c>
      <c r="V231" s="108">
        <f t="shared" si="45"/>
        <v>0</v>
      </c>
    </row>
    <row r="232" spans="1:22" ht="57" x14ac:dyDescent="0.2">
      <c r="A232" s="4" t="str">
        <f>Questions!$A232</f>
        <v>OPEM-05</v>
      </c>
      <c r="B232" s="4" t="str">
        <f t="shared" si="46"/>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Evaluation'!$A$56:$K$346,3,0)&amp;""</f>
        <v/>
      </c>
      <c r="G232" s="4" t="str">
        <f>VLOOKUP($A232,'Institution Evaluation'!$A$56:$K$346,7,0)&amp;""</f>
        <v>Yes</v>
      </c>
      <c r="H232" s="4" t="str">
        <f>VLOOKUP($A232,'Institution Evaluation'!$A$56:$K$346,8,0)&amp;""</f>
        <v/>
      </c>
      <c r="I232" s="4" t="str">
        <f>VLOOKUP($A232,'Institution Evaluation'!$A$56:$K$346,9,0)&amp;""</f>
        <v>Standard Importance</v>
      </c>
      <c r="J232" s="4" t="str">
        <f>VLOOKUP($A232,'Institution Evaluation'!$A$56:$K$346,10,0)&amp;""</f>
        <v/>
      </c>
      <c r="K232" s="4">
        <f t="shared" si="47"/>
        <v>10</v>
      </c>
      <c r="L232" s="108">
        <f>IF($E232="Not Scored", "N/A",IF(AND($D232='Auto Responses'!$J$27,$H232=""),"N/A",IF(AND($D232='Auto Responses'!$J$27,$H232='Auto Responses'!$J$7),1,IF(AND($D232='Auto Responses'!$J$27,$H232='Auto Responses'!$J$8),0,IF(OR($F232=$G232,$H232='Auto Responses'!$J$7),1,0)))))</f>
        <v>0</v>
      </c>
      <c r="M232" s="4" t="str">
        <f>VLOOKUP($A232,'Institution Evaluation'!$A$56:$K$346,10,0)&amp;""</f>
        <v/>
      </c>
      <c r="N232" s="4">
        <f t="shared" si="48"/>
        <v>0</v>
      </c>
      <c r="O232" s="108" t="str">
        <f>IF(OR($F$23="No",$E232="Not Scored",$F232="N/A"),"N/A",IF($J232="",$K232,IF($J232="Minor Importance",5,IF($J232="Standard Importance",10,IF($J232="Critical Importance",20,0)))))</f>
        <v>N/A</v>
      </c>
      <c r="P232" s="108" t="str">
        <f t="shared" si="49"/>
        <v>N/A</v>
      </c>
      <c r="Q232" s="108">
        <f t="shared" si="42"/>
        <v>0</v>
      </c>
      <c r="R232" s="108">
        <f t="shared" si="50"/>
        <v>0</v>
      </c>
      <c r="S232" s="108">
        <f t="shared" si="43"/>
        <v>0</v>
      </c>
      <c r="T232" s="108">
        <f t="shared" si="44"/>
        <v>0</v>
      </c>
      <c r="U232" s="108">
        <f t="shared" si="51"/>
        <v>63</v>
      </c>
      <c r="V232" s="108">
        <f t="shared" si="45"/>
        <v>0</v>
      </c>
    </row>
    <row r="233" spans="1:22" ht="57" x14ac:dyDescent="0.2">
      <c r="A233" s="4" t="str">
        <f>Questions!$A233</f>
        <v>OPEM-06</v>
      </c>
      <c r="B233" s="4" t="str">
        <f t="shared" si="46"/>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Evaluation'!$A$56:$K$346,3,0)&amp;""</f>
        <v/>
      </c>
      <c r="G233" s="4" t="str">
        <f>VLOOKUP($A233,'Institution Evaluation'!$A$56:$K$346,7,0)&amp;""</f>
        <v>Yes</v>
      </c>
      <c r="H233" s="4" t="str">
        <f>VLOOKUP($A233,'Institution Evaluation'!$A$56:$K$346,8,0)&amp;""</f>
        <v/>
      </c>
      <c r="I233" s="4" t="str">
        <f>VLOOKUP($A233,'Institution Evaluation'!$A$56:$K$346,9,0)&amp;""</f>
        <v>Standard Importance</v>
      </c>
      <c r="J233" s="4" t="str">
        <f>VLOOKUP($A233,'Institution Evaluation'!$A$56:$K$346,10,0)&amp;""</f>
        <v/>
      </c>
      <c r="K233" s="4">
        <f t="shared" si="47"/>
        <v>10</v>
      </c>
      <c r="L233" s="108">
        <f>IF($E233="Not Scored", "N/A",IF(AND($D233='Auto Responses'!$J$27,$H233=""),"N/A",IF(AND($D233='Auto Responses'!$J$27,$H233='Auto Responses'!$J$7),1,IF(AND($D233='Auto Responses'!$J$27,$H233='Auto Responses'!$J$8),0,IF(OR($F233=$G233,$H233='Auto Responses'!$J$7),1,0)))))</f>
        <v>0</v>
      </c>
      <c r="M233" s="4" t="str">
        <f>VLOOKUP($A233,'Institution Evaluation'!$A$56:$K$346,10,0)&amp;""</f>
        <v/>
      </c>
      <c r="N233" s="4">
        <f t="shared" si="48"/>
        <v>0</v>
      </c>
      <c r="O233" s="108" t="str">
        <f t="shared" si="53"/>
        <v>N/A</v>
      </c>
      <c r="P233" s="108" t="str">
        <f t="shared" si="49"/>
        <v>N/A</v>
      </c>
      <c r="Q233" s="108">
        <f t="shared" si="42"/>
        <v>0</v>
      </c>
      <c r="R233" s="108">
        <f t="shared" si="50"/>
        <v>0</v>
      </c>
      <c r="S233" s="108">
        <f t="shared" si="43"/>
        <v>0</v>
      </c>
      <c r="T233" s="108">
        <f t="shared" si="44"/>
        <v>0</v>
      </c>
      <c r="U233" s="108">
        <f t="shared" si="51"/>
        <v>63</v>
      </c>
      <c r="V233" s="108">
        <f t="shared" si="45"/>
        <v>0</v>
      </c>
    </row>
    <row r="234" spans="1:22" ht="57" x14ac:dyDescent="0.2">
      <c r="A234" s="4" t="str">
        <f>Questions!$A234</f>
        <v>OPEM-07</v>
      </c>
      <c r="B234" s="4" t="str">
        <f t="shared" si="46"/>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Evaluation'!$A$56:$K$346,3,0)&amp;""</f>
        <v/>
      </c>
      <c r="G234" s="4" t="str">
        <f>VLOOKUP($A234,'Institution Evaluation'!$A$56:$K$346,7,0)&amp;""</f>
        <v>Yes</v>
      </c>
      <c r="H234" s="4" t="str">
        <f>VLOOKUP($A234,'Institution Evaluation'!$A$56:$K$346,8,0)&amp;""</f>
        <v/>
      </c>
      <c r="I234" s="4" t="str">
        <f>VLOOKUP($A234,'Institution Evaluation'!$A$56:$K$346,9,0)&amp;""</f>
        <v>Standard Importance</v>
      </c>
      <c r="J234" s="4" t="str">
        <f>VLOOKUP($A234,'Institution Evaluation'!$A$56:$K$346,10,0)&amp;""</f>
        <v/>
      </c>
      <c r="K234" s="4">
        <f t="shared" si="47"/>
        <v>10</v>
      </c>
      <c r="L234" s="108">
        <f>IF($E234="Not Scored", "N/A",IF(AND($D234='Auto Responses'!$J$27,$H234=""),"N/A",IF(AND($D234='Auto Responses'!$J$27,$H234='Auto Responses'!$J$7),1,IF(AND($D234='Auto Responses'!$J$27,$H234='Auto Responses'!$J$8),0,IF(OR($F234=$G234,$H234='Auto Responses'!$J$7),1,0)))))</f>
        <v>0</v>
      </c>
      <c r="M234" s="4" t="str">
        <f>VLOOKUP($A234,'Institution Evaluation'!$A$56:$K$346,10,0)&amp;""</f>
        <v/>
      </c>
      <c r="N234" s="4">
        <f t="shared" si="48"/>
        <v>0</v>
      </c>
      <c r="O234" s="108" t="str">
        <f t="shared" si="53"/>
        <v>N/A</v>
      </c>
      <c r="P234" s="108" t="str">
        <f t="shared" si="49"/>
        <v>N/A</v>
      </c>
      <c r="Q234" s="108">
        <f t="shared" si="42"/>
        <v>0</v>
      </c>
      <c r="R234" s="108">
        <f t="shared" si="50"/>
        <v>0</v>
      </c>
      <c r="S234" s="108">
        <f t="shared" si="43"/>
        <v>0</v>
      </c>
      <c r="T234" s="108">
        <f t="shared" si="44"/>
        <v>0</v>
      </c>
      <c r="U234" s="108">
        <f t="shared" si="51"/>
        <v>63</v>
      </c>
      <c r="V234" s="108">
        <f t="shared" si="45"/>
        <v>0</v>
      </c>
    </row>
    <row r="235" spans="1:22" ht="57" x14ac:dyDescent="0.2">
      <c r="A235" s="4" t="str">
        <f>Questions!$A235</f>
        <v>OPEM-08</v>
      </c>
      <c r="B235" s="4" t="str">
        <f t="shared" si="46"/>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Evaluation'!$A$56:$K$346,3,0)&amp;""</f>
        <v/>
      </c>
      <c r="G235" s="4" t="str">
        <f>VLOOKUP($A235,'Institution Evaluation'!$A$56:$K$346,7,0)&amp;""</f>
        <v>Not scored</v>
      </c>
      <c r="H235" s="4" t="str">
        <f>VLOOKUP($A235,'Institution Evaluation'!$A$56:$K$346,8,0)&amp;""</f>
        <v/>
      </c>
      <c r="I235" s="4" t="str">
        <f>VLOOKUP($A235,'Institution Evaluation'!$A$56:$K$346,9,0)&amp;""</f>
        <v/>
      </c>
      <c r="J235" s="4" t="str">
        <f>VLOOKUP($A235,'Institution Evaluation'!$A$56:$K$346,10,0)&amp;""</f>
        <v/>
      </c>
      <c r="K235" s="4">
        <f t="shared" si="47"/>
        <v>10</v>
      </c>
      <c r="L235" s="108" t="str">
        <f>IF($E235="Not Scored", "N/A",IF(AND($D235='Auto Responses'!$J$27,$H235=""),"N/A",IF(AND($D235='Auto Responses'!$J$27,$H235='Auto Responses'!$J$7),1,IF(AND($D235='Auto Responses'!$J$27,$H235='Auto Responses'!$J$8),0,IF(OR($F235=$G235,$H235='Auto Responses'!$J$7),1,0)))))</f>
        <v>N/A</v>
      </c>
      <c r="M235" s="4" t="str">
        <f>VLOOKUP($A235,'Institution Evaluation'!$A$56:$K$346,10,0)&amp;""</f>
        <v/>
      </c>
      <c r="N235" s="4">
        <f t="shared" si="48"/>
        <v>0</v>
      </c>
      <c r="O235" s="108" t="str">
        <f t="shared" si="53"/>
        <v>N/A</v>
      </c>
      <c r="P235" s="108" t="str">
        <f t="shared" si="49"/>
        <v>N/A</v>
      </c>
      <c r="Q235" s="108">
        <f t="shared" si="42"/>
        <v>0</v>
      </c>
      <c r="R235" s="108">
        <f t="shared" si="50"/>
        <v>0</v>
      </c>
      <c r="S235" s="108">
        <f t="shared" si="43"/>
        <v>0</v>
      </c>
      <c r="T235" s="108">
        <f t="shared" si="44"/>
        <v>0</v>
      </c>
      <c r="U235" s="108">
        <f t="shared" si="51"/>
        <v>63</v>
      </c>
      <c r="V235" s="108">
        <f t="shared" si="45"/>
        <v>0</v>
      </c>
    </row>
    <row r="236" spans="1:22" ht="57" x14ac:dyDescent="0.2">
      <c r="A236" s="4" t="str">
        <f>Questions!$A236</f>
        <v>OPEM-09</v>
      </c>
      <c r="B236" s="4" t="str">
        <f t="shared" si="46"/>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Evaluation'!$A$56:$K$346,3,0)&amp;""</f>
        <v/>
      </c>
      <c r="G236" s="4" t="str">
        <f>VLOOKUP($A236,'Institution Evaluation'!$A$56:$K$346,7,0)&amp;""</f>
        <v>Not scored</v>
      </c>
      <c r="H236" s="4" t="str">
        <f>VLOOKUP($A236,'Institution Evaluation'!$A$56:$K$346,8,0)&amp;""</f>
        <v/>
      </c>
      <c r="I236" s="4" t="str">
        <f>VLOOKUP($A236,'Institution Evaluation'!$A$56:$K$346,9,0)&amp;""</f>
        <v/>
      </c>
      <c r="J236" s="4" t="str">
        <f>VLOOKUP($A236,'Institution Evaluation'!$A$56:$K$346,10,0)&amp;""</f>
        <v/>
      </c>
      <c r="K236" s="4">
        <f t="shared" si="47"/>
        <v>10</v>
      </c>
      <c r="L236" s="108" t="str">
        <f>IF($E236="Not Scored", "N/A",IF(AND($D236='Auto Responses'!$J$27,$H236=""),"N/A",IF(AND($D236='Auto Responses'!$J$27,$H236='Auto Responses'!$J$7),1,IF(AND($D236='Auto Responses'!$J$27,$H236='Auto Responses'!$J$8),0,IF(OR($F236=$G236,$H236='Auto Responses'!$J$7),1,0)))))</f>
        <v>N/A</v>
      </c>
      <c r="M236" s="4" t="str">
        <f>VLOOKUP($A236,'Institution Evaluation'!$A$56:$K$346,10,0)&amp;""</f>
        <v/>
      </c>
      <c r="N236" s="4">
        <f t="shared" si="48"/>
        <v>0</v>
      </c>
      <c r="O236" s="108" t="str">
        <f t="shared" si="53"/>
        <v>N/A</v>
      </c>
      <c r="P236" s="108" t="str">
        <f t="shared" si="49"/>
        <v>N/A</v>
      </c>
      <c r="Q236" s="108">
        <f t="shared" si="42"/>
        <v>0</v>
      </c>
      <c r="R236" s="108">
        <f t="shared" si="50"/>
        <v>0</v>
      </c>
      <c r="S236" s="108">
        <f t="shared" si="43"/>
        <v>0</v>
      </c>
      <c r="T236" s="108">
        <f t="shared" si="44"/>
        <v>0</v>
      </c>
      <c r="U236" s="108">
        <f t="shared" si="51"/>
        <v>63</v>
      </c>
      <c r="V236" s="108">
        <f t="shared" si="45"/>
        <v>0</v>
      </c>
    </row>
    <row r="237" spans="1:22" ht="57" x14ac:dyDescent="0.2">
      <c r="A237" s="4" t="str">
        <f>Questions!$A237</f>
        <v>OPEM-10</v>
      </c>
      <c r="B237" s="4" t="str">
        <f t="shared" si="46"/>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Evaluation'!$A$56:$K$346,3,0)&amp;""</f>
        <v/>
      </c>
      <c r="G237" s="4" t="str">
        <f>VLOOKUP($A237,'Institution Evaluation'!$A$56:$K$346,7,0)&amp;""</f>
        <v>Yes</v>
      </c>
      <c r="H237" s="4" t="str">
        <f>VLOOKUP($A237,'Institution Evaluation'!$A$56:$K$346,8,0)&amp;""</f>
        <v/>
      </c>
      <c r="I237" s="4" t="str">
        <f>VLOOKUP($A237,'Institution Evaluation'!$A$56:$K$346,9,0)&amp;""</f>
        <v>Minor Importance</v>
      </c>
      <c r="J237" s="4" t="str">
        <f>VLOOKUP($A237,'Institution Evaluation'!$A$56:$K$346,10,0)&amp;""</f>
        <v/>
      </c>
      <c r="K237" s="4">
        <f t="shared" si="47"/>
        <v>5</v>
      </c>
      <c r="L237" s="108">
        <f>IF($E237="Not Scored", "N/A",IF(AND($D237='Auto Responses'!$J$27,$H237=""),"N/A",IF(AND($D237='Auto Responses'!$J$27,$H237='Auto Responses'!$J$7),1,IF(AND($D237='Auto Responses'!$J$27,$H237='Auto Responses'!$J$8),0,IF(OR($F237=$G237,$H237='Auto Responses'!$J$7),1,0)))))</f>
        <v>0</v>
      </c>
      <c r="M237" s="4" t="str">
        <f>VLOOKUP($A237,'Institution Evaluation'!$A$56:$K$346,10,0)&amp;""</f>
        <v/>
      </c>
      <c r="N237" s="4">
        <f t="shared" si="48"/>
        <v>0</v>
      </c>
      <c r="O237" s="108" t="str">
        <f t="shared" si="53"/>
        <v>N/A</v>
      </c>
      <c r="P237" s="108" t="str">
        <f t="shared" si="49"/>
        <v>N/A</v>
      </c>
      <c r="Q237" s="108">
        <f t="shared" ref="Q237" si="54">IF(M237="TRUE",1,0)</f>
        <v>0</v>
      </c>
      <c r="R237" s="108">
        <f t="shared" si="50"/>
        <v>0</v>
      </c>
      <c r="S237" s="108">
        <f t="shared" ref="S237" si="55">IF(Q237=0,0,R237)</f>
        <v>0</v>
      </c>
      <c r="T237" s="108">
        <f t="shared" ref="T237" si="56">IF(N237=1,1,0)</f>
        <v>0</v>
      </c>
      <c r="U237" s="108">
        <f t="shared" si="51"/>
        <v>63</v>
      </c>
      <c r="V237" s="108">
        <f t="shared" ref="V237" si="57">IF(T237=0,0,U237)</f>
        <v>0</v>
      </c>
    </row>
    <row r="238" spans="1:22" ht="57" x14ac:dyDescent="0.2">
      <c r="A238" s="4" t="str">
        <f>Questions!$A238</f>
        <v>PRGN-01</v>
      </c>
      <c r="B238" s="4" t="str">
        <f t="shared" si="46"/>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
      </c>
      <c r="G238" s="4" t="str">
        <f>VLOOKUP($A238,'Privacy Analyst Evaluation'!$A$46:$K$120,7,0)&amp;""</f>
        <v/>
      </c>
      <c r="H238" s="4" t="str">
        <f>VLOOKUP($A238,'Privacy Analyst Evaluation'!$A$46:$K$120,8,0)&amp;""</f>
        <v/>
      </c>
      <c r="I238" s="4" t="str">
        <f>VLOOKUP($A238,'Privacy Analyst Evaluation'!$A$46:$K$120,9,0)&amp;""</f>
        <v/>
      </c>
      <c r="J238" s="4" t="str">
        <f>VLOOKUP($A238,'Privacy Analyst Evaluation'!$A$46:$K$120,10,0)&amp;""</f>
        <v/>
      </c>
      <c r="K238" s="4">
        <f t="shared" si="47"/>
        <v>10</v>
      </c>
      <c r="L238" s="108" t="str">
        <f>IF($E238="Not Scored", "N/A",IF(AND($D238='Auto Responses'!$J$27,$H238=""),"N/A",IF(AND($D238='Auto Responses'!$J$27,$H238='Auto Responses'!$J$7),1,IF(AND($D238='Auto Responses'!$J$27,$H238='Auto Responses'!$J$8),0,IF(OR($F238=$G238,$H238='Auto Responses'!$J$7),1,0)))))</f>
        <v>N/A</v>
      </c>
      <c r="M238" s="4" t="str">
        <f>VLOOKUP($A238,'Privacy Analyst Evaluation'!$A$46:$K$120,10,0)&amp;""</f>
        <v/>
      </c>
      <c r="N238" s="4">
        <f t="shared" si="48"/>
        <v>0</v>
      </c>
      <c r="O238" s="108" t="str">
        <f>IF(OR($E238="Not Scored",$F$24="No"),"N/A",IF($J238="",$K238,IF($J238="Minor Importance",5,IF($J238="Standard Importance",10,IF($J238="Critical Importance",20,0)))))</f>
        <v>N/A</v>
      </c>
      <c r="P238" s="108" t="str">
        <f t="shared" si="49"/>
        <v>N/A</v>
      </c>
      <c r="Q238" s="108">
        <f t="shared" si="42"/>
        <v>0</v>
      </c>
      <c r="R238" s="108">
        <f t="shared" si="50"/>
        <v>0</v>
      </c>
      <c r="S238" s="108">
        <f t="shared" si="43"/>
        <v>0</v>
      </c>
      <c r="T238" s="108">
        <f t="shared" si="44"/>
        <v>0</v>
      </c>
      <c r="U238" s="108">
        <f t="shared" si="51"/>
        <v>63</v>
      </c>
      <c r="V238" s="108">
        <f t="shared" si="45"/>
        <v>0</v>
      </c>
    </row>
    <row r="239" spans="1:22" ht="57" x14ac:dyDescent="0.2">
      <c r="A239" s="4" t="str">
        <f>Questions!$A239</f>
        <v>PRGN-02</v>
      </c>
      <c r="B239" s="4" t="str">
        <f t="shared" si="46"/>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
      </c>
      <c r="G239" s="4" t="str">
        <f>VLOOKUP($A239,'Privacy Analyst Evaluation'!$A$46:$K$120,7,0)&amp;""</f>
        <v/>
      </c>
      <c r="H239" s="4" t="str">
        <f>VLOOKUP($A239,'Privacy Analyst Evaluation'!$A$46:$K$120,8,0)&amp;""</f>
        <v/>
      </c>
      <c r="I239" s="4" t="str">
        <f>VLOOKUP($A239,'Privacy Analyst Evaluation'!$A$46:$K$120,9,0)&amp;""</f>
        <v/>
      </c>
      <c r="J239" s="4" t="str">
        <f>VLOOKUP($A239,'Privacy Analyst Evaluation'!$A$46:$K$120,10,0)&amp;""</f>
        <v/>
      </c>
      <c r="K239" s="4">
        <f t="shared" si="47"/>
        <v>10</v>
      </c>
      <c r="L239" s="108" t="str">
        <f>IF($E239="Not Scored", "N/A",IF(AND($D239='Auto Responses'!$J$27,$H239=""),"N/A",IF(AND($D239='Auto Responses'!$J$27,$H239='Auto Responses'!$J$7),1,IF(AND($D239='Auto Responses'!$J$27,$H239='Auto Responses'!$J$8),0,IF(OR($F239=$G239,$H239='Auto Responses'!$J$7),1,0)))))</f>
        <v>N/A</v>
      </c>
      <c r="M239" s="4" t="str">
        <f>VLOOKUP($A239,'Privacy Analyst Evaluation'!$A$46:$K$120,10,0)&amp;""</f>
        <v/>
      </c>
      <c r="N239" s="4">
        <f t="shared" si="48"/>
        <v>0</v>
      </c>
      <c r="O239" s="108" t="str">
        <f t="shared" ref="O239:O301" si="58">IF(OR($E239="Not Scored",$F$24="No"),"N/A",IF($J239="",$K239,IF($J239="Minor Importance",5,IF($J239="Standard Importance",10,IF($J239="Critical Importance",20,0)))))</f>
        <v>N/A</v>
      </c>
      <c r="P239" s="108" t="str">
        <f t="shared" si="49"/>
        <v>N/A</v>
      </c>
      <c r="Q239" s="108">
        <f t="shared" si="42"/>
        <v>0</v>
      </c>
      <c r="R239" s="108">
        <f t="shared" si="50"/>
        <v>0</v>
      </c>
      <c r="S239" s="108">
        <f t="shared" si="43"/>
        <v>0</v>
      </c>
      <c r="T239" s="108">
        <f t="shared" si="44"/>
        <v>0</v>
      </c>
      <c r="U239" s="108">
        <f t="shared" si="51"/>
        <v>63</v>
      </c>
      <c r="V239" s="108">
        <f t="shared" si="45"/>
        <v>0</v>
      </c>
    </row>
    <row r="240" spans="1:22" ht="57" x14ac:dyDescent="0.2">
      <c r="A240" s="4" t="str">
        <f>Questions!$A240</f>
        <v>PRGN-03</v>
      </c>
      <c r="B240" s="4" t="str">
        <f t="shared" si="46"/>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
      </c>
      <c r="G240" s="4" t="str">
        <f>VLOOKUP($A240,'Privacy Analyst Evaluation'!$A$46:$K$120,7,0)&amp;""</f>
        <v/>
      </c>
      <c r="H240" s="4" t="str">
        <f>VLOOKUP($A240,'Privacy Analyst Evaluation'!$A$46:$K$120,8,0)&amp;""</f>
        <v/>
      </c>
      <c r="I240" s="4" t="str">
        <f>VLOOKUP($A240,'Privacy Analyst Evaluation'!$A$46:$K$120,9,0)&amp;""</f>
        <v/>
      </c>
      <c r="J240" s="4" t="str">
        <f>VLOOKUP($A240,'Privacy Analyst Evaluation'!$A$46:$K$120,10,0)&amp;""</f>
        <v/>
      </c>
      <c r="K240" s="4">
        <f t="shared" si="47"/>
        <v>10</v>
      </c>
      <c r="L240" s="108" t="str">
        <f>IF($E240="Not Scored", "N/A",IF(AND($D240='Auto Responses'!$J$27,$H240=""),"N/A",IF(AND($D240='Auto Responses'!$J$27,$H240='Auto Responses'!$J$7),1,IF(AND($D240='Auto Responses'!$J$27,$H240='Auto Responses'!$J$8),0,IF(OR($F240=$G240,$H240='Auto Responses'!$J$7),1,0)))))</f>
        <v>N/A</v>
      </c>
      <c r="M240" s="4" t="str">
        <f>VLOOKUP($A240,'Privacy Analyst Evaluation'!$A$46:$K$120,10,0)&amp;""</f>
        <v/>
      </c>
      <c r="N240" s="4">
        <f t="shared" si="48"/>
        <v>0</v>
      </c>
      <c r="O240" s="108" t="str">
        <f t="shared" si="58"/>
        <v>N/A</v>
      </c>
      <c r="P240" s="108" t="str">
        <f t="shared" si="49"/>
        <v>N/A</v>
      </c>
      <c r="Q240" s="108">
        <f t="shared" si="42"/>
        <v>0</v>
      </c>
      <c r="R240" s="108">
        <f t="shared" si="50"/>
        <v>0</v>
      </c>
      <c r="S240" s="108">
        <f t="shared" si="43"/>
        <v>0</v>
      </c>
      <c r="T240" s="108">
        <f t="shared" si="44"/>
        <v>0</v>
      </c>
      <c r="U240" s="108">
        <f t="shared" si="51"/>
        <v>63</v>
      </c>
      <c r="V240" s="108">
        <f t="shared" si="45"/>
        <v>0</v>
      </c>
    </row>
    <row r="241" spans="1:22" ht="57" x14ac:dyDescent="0.2">
      <c r="A241" s="4" t="str">
        <f>Questions!$A241</f>
        <v>PRGN-04</v>
      </c>
      <c r="B241" s="4" t="str">
        <f t="shared" si="46"/>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
      </c>
      <c r="G241" s="4" t="str">
        <f>VLOOKUP($A241,'Privacy Analyst Evaluation'!$A$46:$K$120,7,0)&amp;""</f>
        <v/>
      </c>
      <c r="H241" s="4" t="str">
        <f>VLOOKUP($A241,'Privacy Analyst Evaluation'!$A$46:$K$120,8,0)&amp;""</f>
        <v/>
      </c>
      <c r="I241" s="4" t="str">
        <f>VLOOKUP($A241,'Privacy Analyst Evaluation'!$A$46:$K$120,9,0)&amp;""</f>
        <v/>
      </c>
      <c r="J241" s="4" t="str">
        <f>VLOOKUP($A241,'Privacy Analyst Evaluation'!$A$46:$K$120,10,0)&amp;""</f>
        <v/>
      </c>
      <c r="K241" s="4">
        <f t="shared" si="47"/>
        <v>10</v>
      </c>
      <c r="L241" s="108" t="str">
        <f>IF($E241="Not Scored", "N/A",IF(AND($D241='Auto Responses'!$J$27,$H241=""),"N/A",IF(AND($D241='Auto Responses'!$J$27,$H241='Auto Responses'!$J$7),1,IF(AND($D241='Auto Responses'!$J$27,$H241='Auto Responses'!$J$8),0,IF(OR($F241=$G241,$H241='Auto Responses'!$J$7),1,0)))))</f>
        <v>N/A</v>
      </c>
      <c r="M241" s="4" t="str">
        <f>VLOOKUP($A241,'Privacy Analyst Evaluation'!$A$46:$K$120,10,0)&amp;""</f>
        <v/>
      </c>
      <c r="N241" s="4">
        <f t="shared" si="48"/>
        <v>0</v>
      </c>
      <c r="O241" s="108" t="str">
        <f t="shared" si="58"/>
        <v>N/A</v>
      </c>
      <c r="P241" s="108" t="str">
        <f t="shared" si="49"/>
        <v>N/A</v>
      </c>
      <c r="Q241" s="108">
        <f t="shared" si="42"/>
        <v>0</v>
      </c>
      <c r="R241" s="108">
        <f t="shared" si="50"/>
        <v>0</v>
      </c>
      <c r="S241" s="108">
        <f t="shared" si="43"/>
        <v>0</v>
      </c>
      <c r="T241" s="108">
        <f t="shared" si="44"/>
        <v>0</v>
      </c>
      <c r="U241" s="108">
        <f t="shared" si="51"/>
        <v>63</v>
      </c>
      <c r="V241" s="108">
        <f t="shared" si="45"/>
        <v>0</v>
      </c>
    </row>
    <row r="242" spans="1:22" ht="57" x14ac:dyDescent="0.2">
      <c r="A242" s="4" t="str">
        <f>Questions!$A242</f>
        <v>PRGN-05</v>
      </c>
      <c r="B242" s="4" t="str">
        <f t="shared" si="46"/>
        <v>PRGN</v>
      </c>
      <c r="C242" s="4" t="str">
        <f>VLOOKUP($A242,Questions!$A$3:$L$333,2,0)&amp;""</f>
        <v>Web Link to Product/Service Privacy Notice</v>
      </c>
      <c r="D242" s="4" t="str">
        <f>VLOOKUP($A242,Questions!$A$3:$L$333,11,0)&amp;""</f>
        <v>Neutral until evaluated</v>
      </c>
      <c r="E242" s="4" t="str">
        <f>VLOOKUP($A242,Questions!$A$3:$L$333,12,0)&amp;""</f>
        <v>Privacy</v>
      </c>
      <c r="F242" s="4" t="str">
        <f>VLOOKUP($A242,'Privacy Analyst Evaluation'!$A$46:$K$120,3,0)&amp;""</f>
        <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 t="shared" si="47"/>
        <v>10</v>
      </c>
      <c r="L242" s="108" t="str">
        <f>IF($E242="Not Scored", "N/A",IF(AND($D242='Auto Responses'!$J$27,$H242=""),"N/A",IF(AND($D242='Auto Responses'!$J$27,$H242='Auto Responses'!$J$7),1,IF(AND($D242='Auto Responses'!$J$27,$H242='Auto Responses'!$J$8),0,IF(OR($F242=$G242,$H242='Auto Responses'!$J$7),1,0)))))</f>
        <v>N/A</v>
      </c>
      <c r="M242" s="4" t="str">
        <f>VLOOKUP($A242,'Privacy Analyst Evaluation'!$A$46:$K$120,10,0)&amp;""</f>
        <v/>
      </c>
      <c r="N242" s="4">
        <f t="shared" si="48"/>
        <v>0</v>
      </c>
      <c r="O242" s="108" t="str">
        <f t="shared" si="58"/>
        <v>N/A</v>
      </c>
      <c r="P242" s="108" t="str">
        <f t="shared" si="49"/>
        <v>N/A</v>
      </c>
      <c r="Q242" s="108">
        <f t="shared" si="42"/>
        <v>0</v>
      </c>
      <c r="R242" s="108">
        <f t="shared" si="50"/>
        <v>0</v>
      </c>
      <c r="S242" s="108">
        <f t="shared" si="43"/>
        <v>0</v>
      </c>
      <c r="T242" s="108">
        <f t="shared" si="44"/>
        <v>0</v>
      </c>
      <c r="U242" s="108">
        <f t="shared" si="51"/>
        <v>63</v>
      </c>
      <c r="V242" s="108">
        <f t="shared" si="45"/>
        <v>0</v>
      </c>
    </row>
    <row r="243" spans="1:22" ht="71.25" x14ac:dyDescent="0.2">
      <c r="A243" s="4" t="str">
        <f>Questions!$A243</f>
        <v>PCOM-01</v>
      </c>
      <c r="B243" s="4" t="str">
        <f t="shared" si="46"/>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 t="shared" si="47"/>
        <v>20</v>
      </c>
      <c r="L243" s="108">
        <f>IF($E243="Not Scored", "N/A",IF(AND($D243='Auto Responses'!$J$27,$H243=""),"N/A",IF(AND($D243='Auto Responses'!$J$27,$H243='Auto Responses'!$J$7),1,IF(AND($D243='Auto Responses'!$J$27,$H243='Auto Responses'!$J$8),0,IF(OR($F243=$G243,$H243='Auto Responses'!$J$7),1,0)))))</f>
        <v>0</v>
      </c>
      <c r="M243" s="4" t="str">
        <f>VLOOKUP($A243,'Privacy Analyst Evaluation'!$A$46:$K$120,10,0)&amp;""</f>
        <v/>
      </c>
      <c r="N243" s="4">
        <f t="shared" si="48"/>
        <v>1</v>
      </c>
      <c r="O243" s="108" t="str">
        <f t="shared" si="58"/>
        <v>N/A</v>
      </c>
      <c r="P243" s="108" t="str">
        <f t="shared" si="49"/>
        <v>N/A</v>
      </c>
      <c r="Q243" s="108">
        <f t="shared" si="42"/>
        <v>0</v>
      </c>
      <c r="R243" s="108">
        <f t="shared" si="50"/>
        <v>0</v>
      </c>
      <c r="S243" s="108">
        <f t="shared" si="43"/>
        <v>0</v>
      </c>
      <c r="T243" s="108">
        <f t="shared" si="44"/>
        <v>1</v>
      </c>
      <c r="U243" s="108">
        <f t="shared" si="51"/>
        <v>64</v>
      </c>
      <c r="V243" s="108">
        <f t="shared" si="45"/>
        <v>64</v>
      </c>
    </row>
    <row r="244" spans="1:22" ht="57" x14ac:dyDescent="0.2">
      <c r="A244" s="4" t="str">
        <f>Questions!$A244</f>
        <v>PCOM-02</v>
      </c>
      <c r="B244" s="4" t="str">
        <f t="shared" si="46"/>
        <v>PCOM</v>
      </c>
      <c r="C244" s="4" t="str">
        <f>VLOOKUP($A244,Questions!$A$3:$L$333,2,0)&amp;""</f>
        <v>Use this area to share information about your privacy practices that will assist those who are assessing your company data privacy program.*</v>
      </c>
      <c r="D244" s="4" t="str">
        <f>VLOOKUP($A244,Questions!$A$3:$L$333,11,0)&amp;""</f>
        <v>Neutral until evaluated</v>
      </c>
      <c r="E244" s="4" t="str">
        <f>VLOOKUP($A244,Questions!$A$3:$L$333,12,0)&amp;""</f>
        <v>Privacy</v>
      </c>
      <c r="F244" s="4" t="str">
        <f>VLOOKUP($A244,'Privacy Analyst Evaluation'!$A$46:$K$120,3,0)&amp;""</f>
        <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 t="shared" si="47"/>
        <v>10</v>
      </c>
      <c r="L244" s="108" t="str">
        <f>IF($E244="Not Scored", "N/A",IF(AND($D244='Auto Responses'!$J$27,$H244=""),"N/A",IF(AND($D244='Auto Responses'!$J$27,$H244='Auto Responses'!$J$7),1,IF(AND($D244='Auto Responses'!$J$27,$H244='Auto Responses'!$J$8),0,IF(OR($F244=$G244,$H244='Auto Responses'!$J$7),1,0)))))</f>
        <v>N/A</v>
      </c>
      <c r="M244" s="4" t="str">
        <f>VLOOKUP($A244,'Privacy Analyst Evaluation'!$A$46:$K$120,10,0)&amp;""</f>
        <v/>
      </c>
      <c r="N244" s="4">
        <f t="shared" si="48"/>
        <v>0</v>
      </c>
      <c r="O244" s="108" t="str">
        <f t="shared" si="58"/>
        <v>N/A</v>
      </c>
      <c r="P244" s="108" t="str">
        <f t="shared" si="49"/>
        <v>N/A</v>
      </c>
      <c r="Q244" s="108">
        <f t="shared" si="42"/>
        <v>0</v>
      </c>
      <c r="R244" s="108">
        <f t="shared" si="50"/>
        <v>0</v>
      </c>
      <c r="S244" s="108">
        <f t="shared" si="43"/>
        <v>0</v>
      </c>
      <c r="T244" s="108">
        <f t="shared" si="44"/>
        <v>0</v>
      </c>
      <c r="U244" s="108">
        <f t="shared" si="51"/>
        <v>64</v>
      </c>
      <c r="V244" s="108">
        <f t="shared" si="45"/>
        <v>0</v>
      </c>
    </row>
    <row r="245" spans="1:22" ht="57" x14ac:dyDescent="0.2">
      <c r="A245" s="4" t="str">
        <f>Questions!$A245</f>
        <v>PCOM-03</v>
      </c>
      <c r="B245" s="4" t="str">
        <f t="shared" si="46"/>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 t="shared" si="47"/>
        <v>5</v>
      </c>
      <c r="L245" s="108">
        <f>IF($E245="Not Scored", "N/A",IF(AND($D245='Auto Responses'!$J$27,$H245=""),"N/A",IF(AND($D245='Auto Responses'!$J$27,$H245='Auto Responses'!$J$7),1,IF(AND($D245='Auto Responses'!$J$27,$H245='Auto Responses'!$J$8),0,IF(OR($F245=$G245,$H245='Auto Responses'!$J$7),1,0)))))</f>
        <v>0</v>
      </c>
      <c r="M245" s="4" t="str">
        <f>VLOOKUP($A245,'Privacy Analyst Evaluation'!$A$46:$K$120,10,0)&amp;""</f>
        <v/>
      </c>
      <c r="N245" s="4">
        <f t="shared" si="48"/>
        <v>0</v>
      </c>
      <c r="O245" s="108" t="str">
        <f t="shared" si="58"/>
        <v>N/A</v>
      </c>
      <c r="P245" s="108" t="str">
        <f t="shared" si="49"/>
        <v>N/A</v>
      </c>
      <c r="Q245" s="108">
        <f t="shared" si="42"/>
        <v>0</v>
      </c>
      <c r="R245" s="108">
        <f t="shared" si="50"/>
        <v>0</v>
      </c>
      <c r="S245" s="108">
        <f t="shared" si="43"/>
        <v>0</v>
      </c>
      <c r="T245" s="108">
        <f t="shared" si="44"/>
        <v>0</v>
      </c>
      <c r="U245" s="108">
        <f t="shared" si="51"/>
        <v>64</v>
      </c>
      <c r="V245" s="108">
        <f t="shared" si="45"/>
        <v>0</v>
      </c>
    </row>
    <row r="246" spans="1:22" ht="57" x14ac:dyDescent="0.2">
      <c r="A246" s="4" t="str">
        <f>Questions!$A246</f>
        <v>PCOM-04</v>
      </c>
      <c r="B246" s="4" t="str">
        <f t="shared" si="46"/>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 t="shared" si="47"/>
        <v>5</v>
      </c>
      <c r="L246" s="108">
        <f>IF($E246="Not Scored", "N/A",IF(AND($D246='Auto Responses'!$J$27,$H246=""),"N/A",IF(AND($D246='Auto Responses'!$J$27,$H246='Auto Responses'!$J$7),1,IF(AND($D246='Auto Responses'!$J$27,$H246='Auto Responses'!$J$8),0,IF(OR($F246=$G246,$H246='Auto Responses'!$J$7),1,0)))))</f>
        <v>0</v>
      </c>
      <c r="M246" s="4" t="str">
        <f>VLOOKUP($A246,'Privacy Analyst Evaluation'!$A$46:$K$120,10,0)&amp;""</f>
        <v/>
      </c>
      <c r="N246" s="4">
        <f t="shared" si="48"/>
        <v>0</v>
      </c>
      <c r="O246" s="108" t="str">
        <f t="shared" si="58"/>
        <v>N/A</v>
      </c>
      <c r="P246" s="108" t="str">
        <f t="shared" si="49"/>
        <v>N/A</v>
      </c>
      <c r="Q246" s="108">
        <f t="shared" si="42"/>
        <v>0</v>
      </c>
      <c r="R246" s="108">
        <f t="shared" si="50"/>
        <v>0</v>
      </c>
      <c r="S246" s="108">
        <f t="shared" si="43"/>
        <v>0</v>
      </c>
      <c r="T246" s="108">
        <f t="shared" si="44"/>
        <v>0</v>
      </c>
      <c r="U246" s="108">
        <f t="shared" si="51"/>
        <v>64</v>
      </c>
      <c r="V246" s="108">
        <f t="shared" si="45"/>
        <v>0</v>
      </c>
    </row>
    <row r="247" spans="1:22" ht="57" x14ac:dyDescent="0.2">
      <c r="A247" s="4" t="str">
        <f>Questions!$A247</f>
        <v>PDOC-01</v>
      </c>
      <c r="B247" s="4" t="str">
        <f t="shared" si="46"/>
        <v>PDOC</v>
      </c>
      <c r="C247" s="4" t="str">
        <f>VLOOKUP($A247,Questions!$A$3:$L$333,2,0)&amp;""</f>
        <v>If you have completed a SOC 2 audit, does it include the Privacy Trust Service Principle?</v>
      </c>
      <c r="D247" s="4" t="str">
        <f>VLOOKUP($A247,Questions!$A$3:$L$333,11,0)&amp;""</f>
        <v>Neutral until evaluated</v>
      </c>
      <c r="E247" s="4" t="str">
        <f>VLOOKUP($A247,Questions!$A$3:$L$333,12,0)&amp;""</f>
        <v>Not scored</v>
      </c>
      <c r="F247" s="4" t="str">
        <f>VLOOKUP($A247,'Privacy Analyst Evaluation'!$A$46:$K$120,3,0)&amp;""</f>
        <v/>
      </c>
      <c r="G247" s="4" t="str">
        <f>VLOOKUP($A247,'Privacy Analyst Evaluation'!$A$46:$K$120,7,0)&amp;""</f>
        <v>Yes</v>
      </c>
      <c r="H247" s="4" t="str">
        <f>VLOOKUP($A247,'Privacy Analyst Evaluation'!$A$46:$K$120,8,0)&amp;""</f>
        <v/>
      </c>
      <c r="I247" s="4" t="str">
        <f>VLOOKUP($A247,'Privacy Analyst Evaluation'!$A$46:$K$120,9,0)&amp;""</f>
        <v/>
      </c>
      <c r="J247" s="4" t="str">
        <f>VLOOKUP($A247,'Privacy Analyst Evaluation'!$A$46:$K$120,10,0)&amp;""</f>
        <v/>
      </c>
      <c r="K247" s="4">
        <f t="shared" si="47"/>
        <v>10</v>
      </c>
      <c r="L247" s="108" t="str">
        <f>IF($E247="Not Scored", "N/A",IF(AND($D247='Auto Responses'!$J$27,$H247=""),"N/A",IF(AND($D247='Auto Responses'!$J$27,$H247='Auto Responses'!$J$7),1,IF(AND($D247='Auto Responses'!$J$27,$H247='Auto Responses'!$J$8),0,IF(OR($F247=$G247,$H247='Auto Responses'!$J$7),1,0)))))</f>
        <v>N/A</v>
      </c>
      <c r="M247" s="4" t="str">
        <f>VLOOKUP($A247,'Privacy Analyst Evaluation'!$A$46:$K$120,10,0)&amp;""</f>
        <v/>
      </c>
      <c r="N247" s="4">
        <f t="shared" si="48"/>
        <v>0</v>
      </c>
      <c r="O247" s="108" t="str">
        <f>IF(OR($E247="Not Scored",$F247="N/A",$F$24="No"),"N/A",IF($J247="",$K247,IF($J247="Minor Importance",5,IF($J247="Standard Importance",10,IF($J247="Critical Importance",20,0)))))</f>
        <v>N/A</v>
      </c>
      <c r="P247" s="108" t="str">
        <f t="shared" si="49"/>
        <v>N/A</v>
      </c>
      <c r="Q247" s="108">
        <f t="shared" si="42"/>
        <v>0</v>
      </c>
      <c r="R247" s="108">
        <f t="shared" si="50"/>
        <v>0</v>
      </c>
      <c r="S247" s="108">
        <f t="shared" si="43"/>
        <v>0</v>
      </c>
      <c r="T247" s="108">
        <f t="shared" si="44"/>
        <v>0</v>
      </c>
      <c r="U247" s="108">
        <f t="shared" si="51"/>
        <v>64</v>
      </c>
      <c r="V247" s="108">
        <f t="shared" si="45"/>
        <v>0</v>
      </c>
    </row>
    <row r="248" spans="1:22" ht="57" x14ac:dyDescent="0.2">
      <c r="A248" s="4" t="str">
        <f>Questions!$A248</f>
        <v>PDOC-02</v>
      </c>
      <c r="B248" s="4" t="str">
        <f t="shared" si="46"/>
        <v>PDOC</v>
      </c>
      <c r="C248" s="4" t="str">
        <f>VLOOKUP($A248,Questions!$A$3:$L$333,2,0)&amp;""</f>
        <v>Do you conform with a specific industry-standard privacy framework (e.g., NIST Privacy Framework, GDPR, ISO 27701)?</v>
      </c>
      <c r="D248" s="4" t="str">
        <f>VLOOKUP($A248,Questions!$A$3:$L$333,11,0)&amp;""</f>
        <v>Neutral until evaluated</v>
      </c>
      <c r="E248" s="4" t="str">
        <f>VLOOKUP($A248,Questions!$A$3:$L$333,12,0)&amp;""</f>
        <v>Not scored</v>
      </c>
      <c r="F248" s="4" t="str">
        <f>VLOOKUP($A248,'Privacy Analyst Evaluation'!$A$46:$K$120,3,0)&amp;""</f>
        <v/>
      </c>
      <c r="G248" s="4" t="str">
        <f>VLOOKUP($A248,'Privacy Analyst Evaluation'!$A$46:$K$120,7,0)&amp;""</f>
        <v>Yes</v>
      </c>
      <c r="H248" s="4" t="str">
        <f>VLOOKUP($A248,'Privacy Analyst Evaluation'!$A$46:$K$120,8,0)&amp;""</f>
        <v/>
      </c>
      <c r="I248" s="4" t="str">
        <f>VLOOKUP($A248,'Privacy Analyst Evaluation'!$A$46:$K$120,9,0)&amp;""</f>
        <v/>
      </c>
      <c r="J248" s="4" t="str">
        <f>VLOOKUP($A248,'Privacy Analyst Evaluation'!$A$46:$K$120,10,0)&amp;""</f>
        <v/>
      </c>
      <c r="K248" s="4">
        <f t="shared" si="47"/>
        <v>10</v>
      </c>
      <c r="L248" s="108" t="str">
        <f>IF($E248="Not Scored", "N/A",IF(AND($D248='Auto Responses'!$J$27,$H248=""),"N/A",IF(AND($D248='Auto Responses'!$J$27,$H248='Auto Responses'!$J$7),1,IF(AND($D248='Auto Responses'!$J$27,$H248='Auto Responses'!$J$8),0,IF(OR($F248=$G248,$H248='Auto Responses'!$J$7),1,0)))))</f>
        <v>N/A</v>
      </c>
      <c r="M248" s="4" t="str">
        <f>VLOOKUP($A248,'Privacy Analyst Evaluation'!$A$46:$K$120,10,0)&amp;""</f>
        <v/>
      </c>
      <c r="N248" s="4">
        <f t="shared" si="48"/>
        <v>0</v>
      </c>
      <c r="O248" s="108" t="str">
        <f t="shared" si="58"/>
        <v>N/A</v>
      </c>
      <c r="P248" s="108" t="str">
        <f t="shared" si="49"/>
        <v>N/A</v>
      </c>
      <c r="Q248" s="108">
        <f t="shared" si="42"/>
        <v>0</v>
      </c>
      <c r="R248" s="108">
        <f t="shared" si="50"/>
        <v>0</v>
      </c>
      <c r="S248" s="108">
        <f t="shared" si="43"/>
        <v>0</v>
      </c>
      <c r="T248" s="108">
        <f t="shared" si="44"/>
        <v>0</v>
      </c>
      <c r="U248" s="108">
        <f t="shared" si="51"/>
        <v>64</v>
      </c>
      <c r="V248" s="108">
        <f t="shared" si="45"/>
        <v>0</v>
      </c>
    </row>
    <row r="249" spans="1:22" ht="57" x14ac:dyDescent="0.2">
      <c r="A249" s="4" t="str">
        <f>Questions!$A249</f>
        <v>PDOC-03</v>
      </c>
      <c r="B249" s="4" t="str">
        <f t="shared" si="46"/>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 t="shared" si="47"/>
        <v>10</v>
      </c>
      <c r="L249" s="108">
        <f>IF($E249="Not Scored", "N/A",IF(AND($D249='Auto Responses'!$J$27,$H249=""),"N/A",IF(AND($D249='Auto Responses'!$J$27,$H249='Auto Responses'!$J$7),1,IF(AND($D249='Auto Responses'!$J$27,$H249='Auto Responses'!$J$8),0,IF(OR($F249=$G249,$H249='Auto Responses'!$J$7),1,0)))))</f>
        <v>0</v>
      </c>
      <c r="M249" s="4" t="str">
        <f>VLOOKUP($A249,'Privacy Analyst Evaluation'!$A$46:$K$120,10,0)&amp;""</f>
        <v/>
      </c>
      <c r="N249" s="4">
        <f t="shared" si="48"/>
        <v>0</v>
      </c>
      <c r="O249" s="108" t="str">
        <f t="shared" si="58"/>
        <v>N/A</v>
      </c>
      <c r="P249" s="108" t="str">
        <f t="shared" si="49"/>
        <v>N/A</v>
      </c>
      <c r="Q249" s="108">
        <f t="shared" si="42"/>
        <v>0</v>
      </c>
      <c r="R249" s="108">
        <f t="shared" si="50"/>
        <v>0</v>
      </c>
      <c r="S249" s="108">
        <f t="shared" si="43"/>
        <v>0</v>
      </c>
      <c r="T249" s="108">
        <f t="shared" si="44"/>
        <v>0</v>
      </c>
      <c r="U249" s="108">
        <f t="shared" si="51"/>
        <v>64</v>
      </c>
      <c r="V249" s="108">
        <f t="shared" si="45"/>
        <v>0</v>
      </c>
    </row>
    <row r="250" spans="1:22" ht="57" x14ac:dyDescent="0.2">
      <c r="A250" s="4" t="str">
        <f>Questions!$A250</f>
        <v>PTHP-01</v>
      </c>
      <c r="B250" s="4" t="str">
        <f t="shared" si="46"/>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 t="shared" si="47"/>
        <v>20</v>
      </c>
      <c r="L250" s="108">
        <f>IF($E250="Not Scored", "N/A",IF(AND($D250='Auto Responses'!$J$27,$H250=""),"N/A",IF(AND($D250='Auto Responses'!$J$27,$H250='Auto Responses'!$J$7),1,IF(AND($D250='Auto Responses'!$J$27,$H250='Auto Responses'!$J$8),0,IF(OR($F250=$G250,$H250='Auto Responses'!$J$7),1,0)))))</f>
        <v>0</v>
      </c>
      <c r="M250" s="4" t="str">
        <f>VLOOKUP($A250,'Privacy Analyst Evaluation'!$A$46:$K$120,10,0)&amp;""</f>
        <v/>
      </c>
      <c r="N250" s="4">
        <f t="shared" si="48"/>
        <v>1</v>
      </c>
      <c r="O250" s="108" t="str">
        <f t="shared" si="58"/>
        <v>N/A</v>
      </c>
      <c r="P250" s="108" t="str">
        <f t="shared" si="49"/>
        <v>N/A</v>
      </c>
      <c r="Q250" s="108">
        <f t="shared" si="42"/>
        <v>0</v>
      </c>
      <c r="R250" s="108">
        <f t="shared" si="50"/>
        <v>0</v>
      </c>
      <c r="S250" s="108">
        <f t="shared" si="43"/>
        <v>0</v>
      </c>
      <c r="T250" s="108">
        <f t="shared" si="44"/>
        <v>1</v>
      </c>
      <c r="U250" s="108">
        <f t="shared" si="51"/>
        <v>65</v>
      </c>
      <c r="V250" s="108">
        <f t="shared" si="45"/>
        <v>65</v>
      </c>
    </row>
    <row r="251" spans="1:22" ht="85.5" x14ac:dyDescent="0.2">
      <c r="A251" s="4" t="str">
        <f>Questions!$A251</f>
        <v>PTHP-02</v>
      </c>
      <c r="B251" s="4" t="str">
        <f t="shared" si="46"/>
        <v>PTHP</v>
      </c>
      <c r="C251" s="4" t="str">
        <f>VLOOKUP($A251,Questions!$A$3:$L$333,2,0)&amp;""</f>
        <v>Do you perform privacy impact assesments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 t="shared" si="47"/>
        <v>5</v>
      </c>
      <c r="L251" s="108">
        <f>IF($E251="Not Scored", "N/A",IF(AND($D251='Auto Responses'!$J$27,$H251=""),"N/A",IF(AND($D251='Auto Responses'!$J$27,$H251='Auto Responses'!$J$7),1,IF(AND($D251='Auto Responses'!$J$27,$H251='Auto Responses'!$J$8),0,IF(OR($F251=$G251,$H251='Auto Responses'!$J$7),1,0)))))</f>
        <v>0</v>
      </c>
      <c r="M251" s="4" t="str">
        <f>VLOOKUP($A251,'Privacy Analyst Evaluation'!$A$46:$K$120,10,0)&amp;""</f>
        <v/>
      </c>
      <c r="N251" s="4">
        <f t="shared" si="48"/>
        <v>0</v>
      </c>
      <c r="O251" s="108" t="str">
        <f t="shared" si="58"/>
        <v>N/A</v>
      </c>
      <c r="P251" s="108" t="str">
        <f t="shared" si="49"/>
        <v>N/A</v>
      </c>
      <c r="Q251" s="108">
        <f t="shared" si="42"/>
        <v>0</v>
      </c>
      <c r="R251" s="108">
        <f t="shared" si="50"/>
        <v>0</v>
      </c>
      <c r="S251" s="108">
        <f t="shared" si="43"/>
        <v>0</v>
      </c>
      <c r="T251" s="108">
        <f t="shared" si="44"/>
        <v>0</v>
      </c>
      <c r="U251" s="108">
        <f t="shared" si="51"/>
        <v>65</v>
      </c>
      <c r="V251" s="108">
        <f t="shared" si="45"/>
        <v>0</v>
      </c>
    </row>
    <row r="252" spans="1:22" ht="57" x14ac:dyDescent="0.2">
      <c r="A252" s="4" t="str">
        <f>Questions!$A252</f>
        <v>PCHG-01</v>
      </c>
      <c r="B252" s="4" t="str">
        <f t="shared" si="46"/>
        <v>PCHG</v>
      </c>
      <c r="C252" s="4" t="str">
        <f>VLOOKUP($A252,Questions!$A$3:$L$333,2,0)&amp;""</f>
        <v>Does your change management process include privacy review and approval?</v>
      </c>
      <c r="D252" s="4" t="str">
        <f>VLOOKUP($A252,Questions!$A$3:$L$333,11,0)&amp;""</f>
        <v>Neutral until evaluated</v>
      </c>
      <c r="E252" s="4" t="str">
        <f>VLOOKUP($A252,Questions!$A$3:$L$333,12,0)&amp;""</f>
        <v>Privacy</v>
      </c>
      <c r="F252" s="4" t="str">
        <f>VLOOKUP($A252,'Privacy Analyst Evaluation'!$A$46:$K$120,3,0)&amp;""</f>
        <v/>
      </c>
      <c r="G252" s="4" t="str">
        <f>VLOOKUP($A252,'Privacy Analyst Evaluation'!$A$46:$K$120,7,0)&amp;""</f>
        <v>Yes</v>
      </c>
      <c r="H252" s="4" t="str">
        <f>VLOOKUP($A252,'Privacy Analyst Evaluation'!$A$46:$K$120,8,0)&amp;""</f>
        <v/>
      </c>
      <c r="I252" s="4" t="str">
        <f>VLOOKUP($A252,'Privacy Analyst Evaluation'!$A$46:$K$120,9,0)&amp;""</f>
        <v/>
      </c>
      <c r="J252" s="4" t="str">
        <f>VLOOKUP($A252,'Privacy Analyst Evaluation'!$A$46:$K$120,10,0)&amp;""</f>
        <v/>
      </c>
      <c r="K252" s="4">
        <f t="shared" si="47"/>
        <v>10</v>
      </c>
      <c r="L252" s="108" t="str">
        <f>IF($E252="Not Scored", "N/A",IF(AND($D252='Auto Responses'!$J$27,$H252=""),"N/A",IF(AND($D252='Auto Responses'!$J$27,$H252='Auto Responses'!$J$7),1,IF(AND($D252='Auto Responses'!$J$27,$H252='Auto Responses'!$J$8),0,IF(OR($F252=$G252,$H252='Auto Responses'!$J$7),1,0)))))</f>
        <v>N/A</v>
      </c>
      <c r="M252" s="4" t="str">
        <f>VLOOKUP($A252,'Privacy Analyst Evaluation'!$A$46:$K$120,10,0)&amp;""</f>
        <v/>
      </c>
      <c r="N252" s="4">
        <f t="shared" si="48"/>
        <v>0</v>
      </c>
      <c r="O252" s="108" t="str">
        <f t="shared" si="58"/>
        <v>N/A</v>
      </c>
      <c r="P252" s="108" t="str">
        <f t="shared" si="49"/>
        <v>N/A</v>
      </c>
      <c r="Q252" s="108">
        <f t="shared" si="42"/>
        <v>0</v>
      </c>
      <c r="R252" s="108">
        <f t="shared" si="50"/>
        <v>0</v>
      </c>
      <c r="S252" s="108">
        <f t="shared" si="43"/>
        <v>0</v>
      </c>
      <c r="T252" s="108">
        <f t="shared" si="44"/>
        <v>0</v>
      </c>
      <c r="U252" s="108">
        <f t="shared" si="51"/>
        <v>65</v>
      </c>
      <c r="V252" s="108">
        <f t="shared" si="45"/>
        <v>0</v>
      </c>
    </row>
    <row r="253" spans="1:22" ht="57" x14ac:dyDescent="0.2">
      <c r="A253" s="4" t="str">
        <f>Questions!$A253</f>
        <v>PCHG-02</v>
      </c>
      <c r="B253" s="4" t="str">
        <f t="shared" si="46"/>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 t="shared" si="47"/>
        <v>5</v>
      </c>
      <c r="L253" s="108">
        <f>IF($E253="Not Scored", "N/A",IF(AND($D253='Auto Responses'!$J$27,$H253=""),"N/A",IF(AND($D253='Auto Responses'!$J$27,$H253='Auto Responses'!$J$7),1,IF(AND($D253='Auto Responses'!$J$27,$H253='Auto Responses'!$J$8),0,IF(OR($F253=$G253,$H253='Auto Responses'!$J$7),1,0)))))</f>
        <v>0</v>
      </c>
      <c r="M253" s="4" t="str">
        <f>VLOOKUP($A253,'Privacy Analyst Evaluation'!$A$46:$K$120,10,0)&amp;""</f>
        <v/>
      </c>
      <c r="N253" s="4">
        <f t="shared" si="48"/>
        <v>0</v>
      </c>
      <c r="O253" s="108" t="str">
        <f t="shared" si="58"/>
        <v>N/A</v>
      </c>
      <c r="P253" s="108" t="str">
        <f t="shared" si="49"/>
        <v>N/A</v>
      </c>
      <c r="Q253" s="108">
        <f t="shared" si="42"/>
        <v>0</v>
      </c>
      <c r="R253" s="108">
        <f t="shared" si="50"/>
        <v>0</v>
      </c>
      <c r="S253" s="108">
        <f t="shared" si="43"/>
        <v>0</v>
      </c>
      <c r="T253" s="108">
        <f t="shared" si="44"/>
        <v>0</v>
      </c>
      <c r="U253" s="108">
        <f t="shared" si="51"/>
        <v>65</v>
      </c>
      <c r="V253" s="108">
        <f t="shared" si="45"/>
        <v>0</v>
      </c>
    </row>
    <row r="254" spans="1:22" ht="57" x14ac:dyDescent="0.2">
      <c r="A254" s="4" t="str">
        <f>Questions!$A254</f>
        <v>PDAT-01</v>
      </c>
      <c r="B254" s="4" t="str">
        <f t="shared" si="46"/>
        <v>PDAT</v>
      </c>
      <c r="C254" s="4" t="str">
        <f>VLOOKUP($A254,Questions!$A$3:$L$333,2,0)&amp;""</f>
        <v>Do you collect, process, or store demographic information?*</v>
      </c>
      <c r="D254" s="4" t="str">
        <f>VLOOKUP($A254,Questions!$A$3:$L$333,11,0)&amp;""</f>
        <v>Neutral until evaluated</v>
      </c>
      <c r="E254" s="4" t="str">
        <f>VLOOKUP($A254,Questions!$A$3:$L$333,12,0)&amp;""</f>
        <v>Privacy</v>
      </c>
      <c r="F254" s="4" t="str">
        <f>VLOOKUP($A254,'Privacy Analyst Evaluation'!$A$46:$K$120,3,0)&amp;""</f>
        <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 t="shared" si="47"/>
        <v>20</v>
      </c>
      <c r="L254" s="108" t="str">
        <f>IF($E254="Not Scored", "N/A",IF(AND($D254='Auto Responses'!$J$27,$H254=""),"N/A",IF(AND($D254='Auto Responses'!$J$27,$H254='Auto Responses'!$J$7),1,IF(AND($D254='Auto Responses'!$J$27,$H254='Auto Responses'!$J$8),0,IF(OR($F254=$G254,$H254='Auto Responses'!$J$7),1,0)))))</f>
        <v>N/A</v>
      </c>
      <c r="M254" s="4" t="str">
        <f>VLOOKUP($A254,'Privacy Analyst Evaluation'!$A$46:$K$120,10,0)&amp;""</f>
        <v/>
      </c>
      <c r="N254" s="4">
        <f t="shared" si="48"/>
        <v>1</v>
      </c>
      <c r="O254" s="108" t="str">
        <f t="shared" si="58"/>
        <v>N/A</v>
      </c>
      <c r="P254" s="108" t="str">
        <f t="shared" si="49"/>
        <v>N/A</v>
      </c>
      <c r="Q254" s="108">
        <f t="shared" ref="Q254:Q316" si="59">IF(M254="TRUE",1,0)</f>
        <v>0</v>
      </c>
      <c r="R254" s="108">
        <f t="shared" si="50"/>
        <v>0</v>
      </c>
      <c r="S254" s="108">
        <f t="shared" ref="S254:S316" si="60">IF(Q254=0,0,R254)</f>
        <v>0</v>
      </c>
      <c r="T254" s="108">
        <f t="shared" ref="T254:T316" si="61">IF(N254=1,1,0)</f>
        <v>1</v>
      </c>
      <c r="U254" s="108">
        <f t="shared" si="51"/>
        <v>66</v>
      </c>
      <c r="V254" s="108">
        <f t="shared" ref="V254:V316" si="62">IF(T254=0,0,U254)</f>
        <v>66</v>
      </c>
    </row>
    <row r="255" spans="1:22" ht="57" x14ac:dyDescent="0.2">
      <c r="A255" s="4" t="str">
        <f>Questions!$A255</f>
        <v>PDAT-02</v>
      </c>
      <c r="B255" s="4" t="str">
        <f t="shared" ref="B255:B317" si="63">LEFT(A255,4)</f>
        <v>PDAT</v>
      </c>
      <c r="C255" s="4" t="str">
        <f>VLOOKUP($A255,Questions!$A$3:$L$333,2,0)&amp;""</f>
        <v>Do you capture or create genetic, biometric, or behaviometric information (e.g., facial recognition or fingerprints)?*</v>
      </c>
      <c r="D255" s="4" t="str">
        <f>VLOOKUP($A255,Questions!$A$3:$L$333,11,0)&amp;""</f>
        <v>Neutral until evaluated</v>
      </c>
      <c r="E255" s="4" t="str">
        <f>VLOOKUP($A255,Questions!$A$3:$L$333,12,0)&amp;""</f>
        <v>Privacy</v>
      </c>
      <c r="F255" s="4" t="str">
        <f>VLOOKUP($A255,'Privacy Analyst Evaluation'!$A$46:$K$120,3,0)&amp;""</f>
        <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 t="shared" ref="K255:K317" si="64">IF($I255="Critical Importance",20,IF($I255="Minor Importance",5,10))</f>
        <v>20</v>
      </c>
      <c r="L255" s="108" t="str">
        <f>IF($E255="Not Scored", "N/A",IF(AND($D255='Auto Responses'!$J$27,$H255=""),"N/A",IF(AND($D255='Auto Responses'!$J$27,$H255='Auto Responses'!$J$7),1,IF(AND($D255='Auto Responses'!$J$27,$H255='Auto Responses'!$J$8),0,IF(OR($F255=$G255,$H255='Auto Responses'!$J$7),1,0)))))</f>
        <v>N/A</v>
      </c>
      <c r="M255" s="4" t="str">
        <f>VLOOKUP($A255,'Privacy Analyst Evaluation'!$A$46:$K$120,10,0)&amp;""</f>
        <v/>
      </c>
      <c r="N255" s="4">
        <f t="shared" ref="N255:N317" si="65">IF($J255="Critical Importance",1,IF(AND($J255="",$I255="Critical Importance"),1,0))</f>
        <v>1</v>
      </c>
      <c r="O255" s="108" t="str">
        <f t="shared" si="58"/>
        <v>N/A</v>
      </c>
      <c r="P255" s="108" t="str">
        <f t="shared" ref="P255:P317" si="66">IF(OR($O255="N/A",$L255="N/A"),"N/A",$O255*$L255)</f>
        <v>N/A</v>
      </c>
      <c r="Q255" s="108">
        <f t="shared" si="59"/>
        <v>0</v>
      </c>
      <c r="R255" s="108">
        <f t="shared" si="50"/>
        <v>0</v>
      </c>
      <c r="S255" s="108">
        <f t="shared" si="60"/>
        <v>0</v>
      </c>
      <c r="T255" s="108">
        <f t="shared" si="61"/>
        <v>1</v>
      </c>
      <c r="U255" s="108">
        <f t="shared" si="51"/>
        <v>67</v>
      </c>
      <c r="V255" s="108">
        <f t="shared" si="62"/>
        <v>67</v>
      </c>
    </row>
    <row r="256" spans="1:22" ht="57" x14ac:dyDescent="0.2">
      <c r="A256" s="4" t="str">
        <f>Questions!$A256</f>
        <v>PDAT-03</v>
      </c>
      <c r="B256" s="4" t="str">
        <f t="shared" si="63"/>
        <v>PDAT</v>
      </c>
      <c r="C256" s="4" t="str">
        <f>VLOOKUP($A256,Questions!$A$3:$L$333,2,0)&amp;""</f>
        <v>Do you combine institutional data (including "de-identified," "anonymized," or otherwise masked data) with personal data from any other sources?*</v>
      </c>
      <c r="D256" s="4" t="str">
        <f>VLOOKUP($A256,Questions!$A$3:$L$333,11,0)&amp;""</f>
        <v>Neutral until evaluated</v>
      </c>
      <c r="E256" s="4" t="str">
        <f>VLOOKUP($A256,Questions!$A$3:$L$333,12,0)&amp;""</f>
        <v>Privacy</v>
      </c>
      <c r="F256" s="4" t="str">
        <f>VLOOKUP($A256,'Privacy Analyst Evaluation'!$A$46:$K$120,3,0)&amp;""</f>
        <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 t="shared" si="64"/>
        <v>20</v>
      </c>
      <c r="L256" s="108" t="str">
        <f>IF($E256="Not Scored", "N/A",IF(AND($D256='Auto Responses'!$J$27,$H256=""),"N/A",IF(AND($D256='Auto Responses'!$J$27,$H256='Auto Responses'!$J$7),1,IF(AND($D256='Auto Responses'!$J$27,$H256='Auto Responses'!$J$8),0,IF(OR($F256=$G256,$H256='Auto Responses'!$J$7),1,0)))))</f>
        <v>N/A</v>
      </c>
      <c r="M256" s="4" t="str">
        <f>VLOOKUP($A256,'Privacy Analyst Evaluation'!$A$46:$K$120,10,0)&amp;""</f>
        <v/>
      </c>
      <c r="N256" s="4">
        <f t="shared" si="65"/>
        <v>1</v>
      </c>
      <c r="O256" s="108" t="str">
        <f t="shared" si="58"/>
        <v>N/A</v>
      </c>
      <c r="P256" s="108" t="str">
        <f t="shared" si="66"/>
        <v>N/A</v>
      </c>
      <c r="Q256" s="108">
        <f t="shared" si="59"/>
        <v>0</v>
      </c>
      <c r="R256" s="108">
        <f t="shared" si="50"/>
        <v>0</v>
      </c>
      <c r="S256" s="108">
        <f t="shared" si="60"/>
        <v>0</v>
      </c>
      <c r="T256" s="108">
        <f t="shared" si="61"/>
        <v>1</v>
      </c>
      <c r="U256" s="108">
        <f t="shared" si="51"/>
        <v>68</v>
      </c>
      <c r="V256" s="108">
        <f t="shared" si="62"/>
        <v>68</v>
      </c>
    </row>
    <row r="257" spans="1:22" ht="57" x14ac:dyDescent="0.2">
      <c r="A257" s="4" t="str">
        <f>Questions!$A257</f>
        <v>PDAT-04</v>
      </c>
      <c r="B257" s="4" t="str">
        <f t="shared" si="63"/>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 t="shared" si="64"/>
        <v>5</v>
      </c>
      <c r="L257" s="108">
        <f>IF($E257="Not Scored", "N/A",IF(AND($D257='Auto Responses'!$J$27,$H257=""),"N/A",IF(AND($D257='Auto Responses'!$J$27,$H257='Auto Responses'!$J$7),1,IF(AND($D257='Auto Responses'!$J$27,$H257='Auto Responses'!$J$8),0,IF(OR($F257=$G257,$H257='Auto Responses'!$J$7),1,0)))))</f>
        <v>0</v>
      </c>
      <c r="M257" s="4" t="str">
        <f>VLOOKUP($A257,'Privacy Analyst Evaluation'!$A$46:$K$120,10,0)&amp;""</f>
        <v/>
      </c>
      <c r="N257" s="4">
        <f t="shared" si="65"/>
        <v>0</v>
      </c>
      <c r="O257" s="108" t="str">
        <f t="shared" si="58"/>
        <v>N/A</v>
      </c>
      <c r="P257" s="108" t="str">
        <f t="shared" si="66"/>
        <v>N/A</v>
      </c>
      <c r="Q257" s="108">
        <f t="shared" si="59"/>
        <v>0</v>
      </c>
      <c r="R257" s="108">
        <f t="shared" si="50"/>
        <v>0</v>
      </c>
      <c r="S257" s="108">
        <f t="shared" si="60"/>
        <v>0</v>
      </c>
      <c r="T257" s="108">
        <f t="shared" si="61"/>
        <v>0</v>
      </c>
      <c r="U257" s="108">
        <f t="shared" si="51"/>
        <v>68</v>
      </c>
      <c r="V257" s="108">
        <f t="shared" si="62"/>
        <v>0</v>
      </c>
    </row>
    <row r="258" spans="1:22" ht="57" x14ac:dyDescent="0.2">
      <c r="A258" s="4" t="str">
        <f>Questions!$A258</f>
        <v>PDAT-05</v>
      </c>
      <c r="B258" s="4" t="str">
        <f t="shared" si="63"/>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 t="shared" si="64"/>
        <v>5</v>
      </c>
      <c r="L258" s="108">
        <f>IF($E258="Not Scored", "N/A",IF(AND($D258='Auto Responses'!$J$27,$H258=""),"N/A",IF(AND($D258='Auto Responses'!$J$27,$H258='Auto Responses'!$J$7),1,IF(AND($D258='Auto Responses'!$J$27,$H258='Auto Responses'!$J$8),0,IF(OR($F258=$G258,$H258='Auto Responses'!$J$7),1,0)))))</f>
        <v>0</v>
      </c>
      <c r="M258" s="4" t="str">
        <f>VLOOKUP($A258,'Privacy Analyst Evaluation'!$A$46:$K$120,10,0)&amp;""</f>
        <v/>
      </c>
      <c r="N258" s="4">
        <f t="shared" si="65"/>
        <v>0</v>
      </c>
      <c r="O258" s="108" t="str">
        <f t="shared" si="58"/>
        <v>N/A</v>
      </c>
      <c r="P258" s="108" t="str">
        <f t="shared" si="66"/>
        <v>N/A</v>
      </c>
      <c r="Q258" s="108">
        <f t="shared" si="59"/>
        <v>0</v>
      </c>
      <c r="R258" s="108">
        <f t="shared" si="50"/>
        <v>0</v>
      </c>
      <c r="S258" s="108">
        <f t="shared" si="60"/>
        <v>0</v>
      </c>
      <c r="T258" s="108">
        <f t="shared" si="61"/>
        <v>0</v>
      </c>
      <c r="U258" s="108">
        <f t="shared" si="51"/>
        <v>68</v>
      </c>
      <c r="V258" s="108">
        <f t="shared" si="62"/>
        <v>0</v>
      </c>
    </row>
    <row r="259" spans="1:22" ht="57" x14ac:dyDescent="0.2">
      <c r="A259" s="4" t="str">
        <f>Questions!$A259</f>
        <v>PDAT-06</v>
      </c>
      <c r="B259" s="4" t="str">
        <f t="shared" si="63"/>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 t="shared" si="64"/>
        <v>5</v>
      </c>
      <c r="L259" s="108">
        <f>IF($E259="Not Scored", "N/A",IF(AND($D259='Auto Responses'!$J$27,$H259=""),"N/A",IF(AND($D259='Auto Responses'!$J$27,$H259='Auto Responses'!$J$7),1,IF(AND($D259='Auto Responses'!$J$27,$H259='Auto Responses'!$J$8),0,IF(OR($F259=$G259,$H259='Auto Responses'!$J$7),1,0)))))</f>
        <v>0</v>
      </c>
      <c r="M259" s="4" t="str">
        <f>VLOOKUP($A259,'Privacy Analyst Evaluation'!$A$46:$K$120,10,0)&amp;""</f>
        <v/>
      </c>
      <c r="N259" s="4">
        <f t="shared" si="65"/>
        <v>0</v>
      </c>
      <c r="O259" s="108" t="str">
        <f t="shared" si="58"/>
        <v>N/A</v>
      </c>
      <c r="P259" s="108" t="str">
        <f t="shared" si="66"/>
        <v>N/A</v>
      </c>
      <c r="Q259" s="108">
        <f t="shared" si="59"/>
        <v>0</v>
      </c>
      <c r="R259" s="108">
        <f t="shared" si="50"/>
        <v>0</v>
      </c>
      <c r="S259" s="108">
        <f t="shared" si="60"/>
        <v>0</v>
      </c>
      <c r="T259" s="108">
        <f t="shared" si="61"/>
        <v>0</v>
      </c>
      <c r="U259" s="108">
        <f t="shared" si="51"/>
        <v>68</v>
      </c>
      <c r="V259" s="108">
        <f t="shared" si="62"/>
        <v>0</v>
      </c>
    </row>
    <row r="260" spans="1:22" ht="57" x14ac:dyDescent="0.2">
      <c r="A260" s="4" t="str">
        <f>Questions!$A260</f>
        <v>PDAT-07</v>
      </c>
      <c r="B260" s="4" t="str">
        <f t="shared" si="63"/>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 t="shared" si="64"/>
        <v>5</v>
      </c>
      <c r="L260" s="108">
        <f>IF($E260="Not Scored", "N/A",IF(AND($D260='Auto Responses'!$J$27,$H260=""),"N/A",IF(AND($D260='Auto Responses'!$J$27,$H260='Auto Responses'!$J$7),1,IF(AND($D260='Auto Responses'!$J$27,$H260='Auto Responses'!$J$8),0,IF(OR($F260=$G260,$H260='Auto Responses'!$J$7),1,0)))))</f>
        <v>0</v>
      </c>
      <c r="M260" s="4" t="str">
        <f>VLOOKUP($A260,'Privacy Analyst Evaluation'!$A$46:$K$120,10,0)&amp;""</f>
        <v/>
      </c>
      <c r="N260" s="4">
        <f t="shared" si="65"/>
        <v>0</v>
      </c>
      <c r="O260" s="108" t="str">
        <f t="shared" si="58"/>
        <v>N/A</v>
      </c>
      <c r="P260" s="108" t="str">
        <f t="shared" si="66"/>
        <v>N/A</v>
      </c>
      <c r="Q260" s="108">
        <f t="shared" si="59"/>
        <v>0</v>
      </c>
      <c r="R260" s="108">
        <f t="shared" si="50"/>
        <v>0</v>
      </c>
      <c r="S260" s="108">
        <f t="shared" si="60"/>
        <v>0</v>
      </c>
      <c r="T260" s="108">
        <f t="shared" si="61"/>
        <v>0</v>
      </c>
      <c r="U260" s="108">
        <f t="shared" si="51"/>
        <v>68</v>
      </c>
      <c r="V260" s="108">
        <f t="shared" si="62"/>
        <v>0</v>
      </c>
    </row>
    <row r="261" spans="1:22" ht="57" x14ac:dyDescent="0.2">
      <c r="A261" s="4" t="str">
        <f>Questions!$A261</f>
        <v>PDAT-08</v>
      </c>
      <c r="B261" s="4" t="str">
        <f t="shared" si="63"/>
        <v>PDAT</v>
      </c>
      <c r="C261" s="4" t="str">
        <f>VLOOKUP($A261,Questions!$A$3:$L$333,2,0)&amp;""</f>
        <v>Will you handle personal data in a manner compliant with all relevant laws, regulations, and applicable institution policies?</v>
      </c>
      <c r="D261" s="4" t="str">
        <f>VLOOKUP($A261,Questions!$A$3:$L$333,11,0)&amp;""</f>
        <v>Neutral until evaluated</v>
      </c>
      <c r="E261" s="4" t="str">
        <f>VLOOKUP($A261,Questions!$A$3:$L$333,12,0)&amp;""</f>
        <v>Not scored</v>
      </c>
      <c r="F261" s="4" t="str">
        <f>VLOOKUP($A261,'Privacy Analyst Evaluation'!$A$46:$K$120,3,0)&amp;""</f>
        <v/>
      </c>
      <c r="G261" s="4" t="str">
        <f>VLOOKUP($A261,'Privacy Analyst Evaluation'!$A$46:$K$120,7,0)&amp;""</f>
        <v>Yes</v>
      </c>
      <c r="H261" s="4" t="str">
        <f>VLOOKUP($A261,'Privacy Analyst Evaluation'!$A$46:$K$120,8,0)&amp;""</f>
        <v/>
      </c>
      <c r="I261" s="4" t="str">
        <f>VLOOKUP($A261,'Privacy Analyst Evaluation'!$A$46:$K$120,9,0)&amp;""</f>
        <v>Minor Importance</v>
      </c>
      <c r="J261" s="4" t="str">
        <f>VLOOKUP($A261,'Privacy Analyst Evaluation'!$A$46:$K$120,10,0)&amp;""</f>
        <v/>
      </c>
      <c r="K261" s="4">
        <f t="shared" si="64"/>
        <v>5</v>
      </c>
      <c r="L261" s="108" t="str">
        <f>IF($E261="Not Scored", "N/A",IF(AND($D261='Auto Responses'!$J$27,$H261=""),"N/A",IF(AND($D261='Auto Responses'!$J$27,$H261='Auto Responses'!$J$7),1,IF(AND($D261='Auto Responses'!$J$27,$H261='Auto Responses'!$J$8),0,IF(OR($F261=$G261,$H261='Auto Responses'!$J$7),1,0)))))</f>
        <v>N/A</v>
      </c>
      <c r="M261" s="4" t="str">
        <f>VLOOKUP($A261,'Privacy Analyst Evaluation'!$A$46:$K$120,10,0)&amp;""</f>
        <v/>
      </c>
      <c r="N261" s="4">
        <f t="shared" si="65"/>
        <v>0</v>
      </c>
      <c r="O261" s="108" t="str">
        <f t="shared" si="58"/>
        <v>N/A</v>
      </c>
      <c r="P261" s="108" t="str">
        <f t="shared" si="66"/>
        <v>N/A</v>
      </c>
      <c r="Q261" s="108">
        <f t="shared" si="59"/>
        <v>0</v>
      </c>
      <c r="R261" s="108">
        <f t="shared" ref="R261:R324" si="67">R260+Q261</f>
        <v>0</v>
      </c>
      <c r="S261" s="108">
        <f t="shared" si="60"/>
        <v>0</v>
      </c>
      <c r="T261" s="108">
        <f t="shared" si="61"/>
        <v>0</v>
      </c>
      <c r="U261" s="108">
        <f t="shared" ref="U261:U324" si="68">U260+T261</f>
        <v>68</v>
      </c>
      <c r="V261" s="108">
        <f t="shared" si="62"/>
        <v>0</v>
      </c>
    </row>
    <row r="262" spans="1:22" ht="57" x14ac:dyDescent="0.2">
      <c r="A262" s="4" t="str">
        <f>Questions!$A262</f>
        <v>PRPO-01</v>
      </c>
      <c r="B262" s="4" t="str">
        <f t="shared" si="63"/>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 t="shared" si="64"/>
        <v>5</v>
      </c>
      <c r="L262" s="108">
        <f>IF($E262="Not Scored", "N/A",IF(AND($D262='Auto Responses'!$J$27,$H262=""),"N/A",IF(AND($D262='Auto Responses'!$J$27,$H262='Auto Responses'!$J$7),1,IF(AND($D262='Auto Responses'!$J$27,$H262='Auto Responses'!$J$8),0,IF(OR($F262=$G262,$H262='Auto Responses'!$J$7),1,0)))))</f>
        <v>0</v>
      </c>
      <c r="M262" s="4" t="str">
        <f>VLOOKUP($A262,'Privacy Analyst Evaluation'!$A$46:$K$120,10,0)&amp;""</f>
        <v/>
      </c>
      <c r="N262" s="4">
        <f t="shared" si="65"/>
        <v>0</v>
      </c>
      <c r="O262" s="108" t="str">
        <f t="shared" si="58"/>
        <v>N/A</v>
      </c>
      <c r="P262" s="108" t="str">
        <f t="shared" si="66"/>
        <v>N/A</v>
      </c>
      <c r="Q262" s="108">
        <f t="shared" si="59"/>
        <v>0</v>
      </c>
      <c r="R262" s="108">
        <f t="shared" si="67"/>
        <v>0</v>
      </c>
      <c r="S262" s="108">
        <f t="shared" si="60"/>
        <v>0</v>
      </c>
      <c r="T262" s="108">
        <f t="shared" si="61"/>
        <v>0</v>
      </c>
      <c r="U262" s="108">
        <f t="shared" si="68"/>
        <v>68</v>
      </c>
      <c r="V262" s="108">
        <f t="shared" si="62"/>
        <v>0</v>
      </c>
    </row>
    <row r="263" spans="1:22" ht="57" x14ac:dyDescent="0.2">
      <c r="A263" s="4" t="str">
        <f>Questions!$A263</f>
        <v>PRPO-02</v>
      </c>
      <c r="B263" s="4" t="str">
        <f t="shared" si="63"/>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 t="shared" si="64"/>
        <v>5</v>
      </c>
      <c r="L263" s="108">
        <f>IF($E263="Not Scored", "N/A",IF(AND($D263='Auto Responses'!$J$27,$H263=""),"N/A",IF(AND($D263='Auto Responses'!$J$27,$H263='Auto Responses'!$J$7),1,IF(AND($D263='Auto Responses'!$J$27,$H263='Auto Responses'!$J$8),0,IF(OR($F263=$G263,$H263='Auto Responses'!$J$7),1,0)))))</f>
        <v>0</v>
      </c>
      <c r="M263" s="4" t="str">
        <f>VLOOKUP($A263,'Privacy Analyst Evaluation'!$A$46:$K$120,10,0)&amp;""</f>
        <v/>
      </c>
      <c r="N263" s="4">
        <f t="shared" si="65"/>
        <v>0</v>
      </c>
      <c r="O263" s="108" t="str">
        <f t="shared" si="58"/>
        <v>N/A</v>
      </c>
      <c r="P263" s="108" t="str">
        <f t="shared" si="66"/>
        <v>N/A</v>
      </c>
      <c r="Q263" s="108">
        <f t="shared" si="59"/>
        <v>0</v>
      </c>
      <c r="R263" s="108">
        <f t="shared" si="67"/>
        <v>0</v>
      </c>
      <c r="S263" s="108">
        <f t="shared" si="60"/>
        <v>0</v>
      </c>
      <c r="T263" s="108">
        <f t="shared" si="61"/>
        <v>0</v>
      </c>
      <c r="U263" s="108">
        <f t="shared" si="68"/>
        <v>68</v>
      </c>
      <c r="V263" s="108">
        <f t="shared" si="62"/>
        <v>0</v>
      </c>
    </row>
    <row r="264" spans="1:22" ht="57" x14ac:dyDescent="0.2">
      <c r="A264" s="4" t="str">
        <f>Questions!$A264</f>
        <v>PRPO-03</v>
      </c>
      <c r="B264" s="4" t="str">
        <f t="shared" si="63"/>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 t="shared" si="64"/>
        <v>10</v>
      </c>
      <c r="L264" s="108">
        <f>IF($E264="Not Scored", "N/A",IF(AND($D264='Auto Responses'!$J$27,$H264=""),"N/A",IF(AND($D264='Auto Responses'!$J$27,$H264='Auto Responses'!$J$7),1,IF(AND($D264='Auto Responses'!$J$27,$H264='Auto Responses'!$J$8),0,IF(OR($F264=$G264,$H264='Auto Responses'!$J$7),1,0)))))</f>
        <v>0</v>
      </c>
      <c r="M264" s="4" t="str">
        <f>VLOOKUP($A264,'Privacy Analyst Evaluation'!$A$46:$K$120,10,0)&amp;""</f>
        <v/>
      </c>
      <c r="N264" s="4">
        <f t="shared" si="65"/>
        <v>0</v>
      </c>
      <c r="O264" s="108" t="str">
        <f t="shared" si="58"/>
        <v>N/A</v>
      </c>
      <c r="P264" s="108" t="str">
        <f t="shared" si="66"/>
        <v>N/A</v>
      </c>
      <c r="Q264" s="108">
        <f t="shared" si="59"/>
        <v>0</v>
      </c>
      <c r="R264" s="108">
        <f t="shared" si="67"/>
        <v>0</v>
      </c>
      <c r="S264" s="108">
        <f t="shared" si="60"/>
        <v>0</v>
      </c>
      <c r="T264" s="108">
        <f t="shared" si="61"/>
        <v>0</v>
      </c>
      <c r="U264" s="108">
        <f t="shared" si="68"/>
        <v>68</v>
      </c>
      <c r="V264" s="108">
        <f t="shared" si="62"/>
        <v>0</v>
      </c>
    </row>
    <row r="265" spans="1:22" ht="57" x14ac:dyDescent="0.2">
      <c r="A265" s="4" t="str">
        <f>Questions!$A265</f>
        <v>PRPO-04</v>
      </c>
      <c r="B265" s="4" t="str">
        <f t="shared" si="63"/>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 t="shared" si="64"/>
        <v>5</v>
      </c>
      <c r="L265" s="108">
        <f>IF($E265="Not Scored", "N/A",IF(AND($D265='Auto Responses'!$J$27,$H265=""),"N/A",IF(AND($D265='Auto Responses'!$J$27,$H265='Auto Responses'!$J$7),1,IF(AND($D265='Auto Responses'!$J$27,$H265='Auto Responses'!$J$8),0,IF(OR($F265=$G265,$H265='Auto Responses'!$J$7),1,0)))))</f>
        <v>0</v>
      </c>
      <c r="M265" s="4" t="str">
        <f>VLOOKUP($A265,'Privacy Analyst Evaluation'!$A$46:$K$120,10,0)&amp;""</f>
        <v/>
      </c>
      <c r="N265" s="4">
        <f t="shared" si="65"/>
        <v>0</v>
      </c>
      <c r="O265" s="108" t="str">
        <f t="shared" si="58"/>
        <v>N/A</v>
      </c>
      <c r="P265" s="108" t="str">
        <f t="shared" si="66"/>
        <v>N/A</v>
      </c>
      <c r="Q265" s="108">
        <f t="shared" si="59"/>
        <v>0</v>
      </c>
      <c r="R265" s="108">
        <f t="shared" si="67"/>
        <v>0</v>
      </c>
      <c r="S265" s="108">
        <f t="shared" si="60"/>
        <v>0</v>
      </c>
      <c r="T265" s="108">
        <f t="shared" si="61"/>
        <v>0</v>
      </c>
      <c r="U265" s="108">
        <f t="shared" si="68"/>
        <v>68</v>
      </c>
      <c r="V265" s="108">
        <f t="shared" si="62"/>
        <v>0</v>
      </c>
    </row>
    <row r="266" spans="1:22" ht="57" x14ac:dyDescent="0.2">
      <c r="A266" s="4" t="str">
        <f>Questions!$A266</f>
        <v>PRPO-05</v>
      </c>
      <c r="B266" s="4" t="str">
        <f t="shared" si="63"/>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 t="shared" si="64"/>
        <v>5</v>
      </c>
      <c r="L266" s="108">
        <f>IF($E266="Not Scored", "N/A",IF(AND($D266='Auto Responses'!$J$27,$H266=""),"N/A",IF(AND($D266='Auto Responses'!$J$27,$H266='Auto Responses'!$J$7),1,IF(AND($D266='Auto Responses'!$J$27,$H266='Auto Responses'!$J$8),0,IF(OR($F266=$G266,$H266='Auto Responses'!$J$7),1,0)))))</f>
        <v>0</v>
      </c>
      <c r="M266" s="4" t="str">
        <f>VLOOKUP($A266,'Privacy Analyst Evaluation'!$A$46:$K$120,10,0)&amp;""</f>
        <v/>
      </c>
      <c r="N266" s="4">
        <f t="shared" si="65"/>
        <v>0</v>
      </c>
      <c r="O266" s="108" t="str">
        <f t="shared" si="58"/>
        <v>N/A</v>
      </c>
      <c r="P266" s="108" t="str">
        <f t="shared" si="66"/>
        <v>N/A</v>
      </c>
      <c r="Q266" s="108">
        <f t="shared" si="59"/>
        <v>0</v>
      </c>
      <c r="R266" s="108">
        <f t="shared" si="67"/>
        <v>0</v>
      </c>
      <c r="S266" s="108">
        <f t="shared" si="60"/>
        <v>0</v>
      </c>
      <c r="T266" s="108">
        <f t="shared" si="61"/>
        <v>0</v>
      </c>
      <c r="U266" s="108">
        <f t="shared" si="68"/>
        <v>68</v>
      </c>
      <c r="V266" s="108">
        <f t="shared" si="62"/>
        <v>0</v>
      </c>
    </row>
    <row r="267" spans="1:22" ht="57" x14ac:dyDescent="0.2">
      <c r="A267" s="4" t="str">
        <f>Questions!$A267</f>
        <v>PRPO-06</v>
      </c>
      <c r="B267" s="4" t="str">
        <f t="shared" si="63"/>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 t="shared" si="64"/>
        <v>20</v>
      </c>
      <c r="L267" s="108">
        <f>IF($E267="Not Scored", "N/A",IF(AND($D267='Auto Responses'!$J$27,$H267=""),"N/A",IF(AND($D267='Auto Responses'!$J$27,$H267='Auto Responses'!$J$7),1,IF(AND($D267='Auto Responses'!$J$27,$H267='Auto Responses'!$J$8),0,IF(OR($F267=$G267,$H267='Auto Responses'!$J$7),1,0)))))</f>
        <v>0</v>
      </c>
      <c r="M267" s="4" t="str">
        <f>VLOOKUP($A267,'Privacy Analyst Evaluation'!$A$46:$K$120,10,0)&amp;""</f>
        <v/>
      </c>
      <c r="N267" s="4">
        <f t="shared" si="65"/>
        <v>1</v>
      </c>
      <c r="O267" s="108" t="str">
        <f t="shared" si="58"/>
        <v>N/A</v>
      </c>
      <c r="P267" s="108" t="str">
        <f t="shared" si="66"/>
        <v>N/A</v>
      </c>
      <c r="Q267" s="108">
        <f t="shared" si="59"/>
        <v>0</v>
      </c>
      <c r="R267" s="108">
        <f t="shared" si="67"/>
        <v>0</v>
      </c>
      <c r="S267" s="108">
        <f t="shared" si="60"/>
        <v>0</v>
      </c>
      <c r="T267" s="108">
        <f t="shared" si="61"/>
        <v>1</v>
      </c>
      <c r="U267" s="108">
        <f t="shared" si="68"/>
        <v>69</v>
      </c>
      <c r="V267" s="108">
        <f t="shared" si="62"/>
        <v>69</v>
      </c>
    </row>
    <row r="268" spans="1:22" ht="57" x14ac:dyDescent="0.2">
      <c r="A268" s="4" t="str">
        <f>Questions!$A268</f>
        <v>PRPO-07</v>
      </c>
      <c r="B268" s="4" t="str">
        <f t="shared" si="63"/>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 t="shared" si="64"/>
        <v>5</v>
      </c>
      <c r="L268" s="108">
        <f>IF($E268="Not Scored", "N/A",IF(AND($D268='Auto Responses'!$J$27,$H268=""),"N/A",IF(AND($D268='Auto Responses'!$J$27,$H268='Auto Responses'!$J$7),1,IF(AND($D268='Auto Responses'!$J$27,$H268='Auto Responses'!$J$8),0,IF(OR($F268=$G268,$H268='Auto Responses'!$J$7),1,0)))))</f>
        <v>0</v>
      </c>
      <c r="M268" s="4" t="str">
        <f>VLOOKUP($A268,'Privacy Analyst Evaluation'!$A$46:$K$120,10,0)&amp;""</f>
        <v/>
      </c>
      <c r="N268" s="4">
        <f t="shared" si="65"/>
        <v>0</v>
      </c>
      <c r="O268" s="108" t="str">
        <f t="shared" si="58"/>
        <v>N/A</v>
      </c>
      <c r="P268" s="108" t="str">
        <f t="shared" si="66"/>
        <v>N/A</v>
      </c>
      <c r="Q268" s="108">
        <f t="shared" si="59"/>
        <v>0</v>
      </c>
      <c r="R268" s="108">
        <f t="shared" si="67"/>
        <v>0</v>
      </c>
      <c r="S268" s="108">
        <f t="shared" si="60"/>
        <v>0</v>
      </c>
      <c r="T268" s="108">
        <f t="shared" si="61"/>
        <v>0</v>
      </c>
      <c r="U268" s="108">
        <f t="shared" si="68"/>
        <v>69</v>
      </c>
      <c r="V268" s="108">
        <f t="shared" si="62"/>
        <v>0</v>
      </c>
    </row>
    <row r="269" spans="1:22" ht="57" x14ac:dyDescent="0.2">
      <c r="A269" s="4" t="str">
        <f>Questions!$A269</f>
        <v>PRPO-08</v>
      </c>
      <c r="B269" s="4" t="str">
        <f t="shared" si="63"/>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 t="shared" si="64"/>
        <v>5</v>
      </c>
      <c r="L269" s="108">
        <f>IF($E269="Not Scored", "N/A",IF(AND($D269='Auto Responses'!$J$27,$H269=""),"N/A",IF(AND($D269='Auto Responses'!$J$27,$H269='Auto Responses'!$J$7),1,IF(AND($D269='Auto Responses'!$J$27,$H269='Auto Responses'!$J$8),0,IF(OR($F269=$G269,$H269='Auto Responses'!$J$7),1,0)))))</f>
        <v>0</v>
      </c>
      <c r="M269" s="4" t="str">
        <f>VLOOKUP($A269,'Privacy Analyst Evaluation'!$A$46:$K$120,10,0)&amp;""</f>
        <v/>
      </c>
      <c r="N269" s="4">
        <f t="shared" si="65"/>
        <v>0</v>
      </c>
      <c r="O269" s="108" t="str">
        <f>IF(OR($E269="Not Scored",$F269="N/A",$F$24="No"),"N/A",IF($J269="",$K269,IF($J269="Minor Importance",5,IF($J269="Standard Importance",10,IF($J269="Critical Importance",20,0)))))</f>
        <v>N/A</v>
      </c>
      <c r="P269" s="108" t="str">
        <f t="shared" si="66"/>
        <v>N/A</v>
      </c>
      <c r="Q269" s="108">
        <f t="shared" si="59"/>
        <v>0</v>
      </c>
      <c r="R269" s="108">
        <f t="shared" si="67"/>
        <v>0</v>
      </c>
      <c r="S269" s="108">
        <f t="shared" si="60"/>
        <v>0</v>
      </c>
      <c r="T269" s="108">
        <f t="shared" si="61"/>
        <v>0</v>
      </c>
      <c r="U269" s="108">
        <f t="shared" si="68"/>
        <v>69</v>
      </c>
      <c r="V269" s="108">
        <f t="shared" si="62"/>
        <v>0</v>
      </c>
    </row>
    <row r="270" spans="1:22" ht="57" x14ac:dyDescent="0.2">
      <c r="A270" s="4" t="str">
        <f>Questions!$A270</f>
        <v>PRPO-09</v>
      </c>
      <c r="B270" s="4" t="str">
        <f t="shared" si="63"/>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 t="shared" si="64"/>
        <v>5</v>
      </c>
      <c r="L270" s="108">
        <f>IF($E270="Not Scored", "N/A",IF(AND($D270='Auto Responses'!$J$27,$H270=""),"N/A",IF(AND($D270='Auto Responses'!$J$27,$H270='Auto Responses'!$J$7),1,IF(AND($D270='Auto Responses'!$J$27,$H270='Auto Responses'!$J$8),0,IF(OR($F270=$G270,$H270='Auto Responses'!$J$7),1,0)))))</f>
        <v>0</v>
      </c>
      <c r="M270" s="4" t="str">
        <f>VLOOKUP($A270,'Privacy Analyst Evaluation'!$A$46:$K$120,10,0)&amp;""</f>
        <v/>
      </c>
      <c r="N270" s="4">
        <f t="shared" si="65"/>
        <v>0</v>
      </c>
      <c r="O270" s="108" t="str">
        <f t="shared" si="58"/>
        <v>N/A</v>
      </c>
      <c r="P270" s="108" t="str">
        <f t="shared" si="66"/>
        <v>N/A</v>
      </c>
      <c r="Q270" s="108">
        <f t="shared" si="59"/>
        <v>0</v>
      </c>
      <c r="R270" s="108">
        <f t="shared" si="67"/>
        <v>0</v>
      </c>
      <c r="S270" s="108">
        <f t="shared" si="60"/>
        <v>0</v>
      </c>
      <c r="T270" s="108">
        <f t="shared" si="61"/>
        <v>0</v>
      </c>
      <c r="U270" s="108">
        <f t="shared" si="68"/>
        <v>69</v>
      </c>
      <c r="V270" s="108">
        <f t="shared" si="62"/>
        <v>0</v>
      </c>
    </row>
    <row r="271" spans="1:22" ht="57" x14ac:dyDescent="0.2">
      <c r="A271" s="4" t="str">
        <f>Questions!$A271</f>
        <v>PRPO-10</v>
      </c>
      <c r="B271" s="4" t="str">
        <f t="shared" si="63"/>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 t="shared" si="64"/>
        <v>5</v>
      </c>
      <c r="L271" s="108">
        <f>IF($E271="Not Scored", "N/A",IF(AND($D271='Auto Responses'!$J$27,$H271=""),"N/A",IF(AND($D271='Auto Responses'!$J$27,$H271='Auto Responses'!$J$7),1,IF(AND($D271='Auto Responses'!$J$27,$H271='Auto Responses'!$J$8),0,IF(OR($F271=$G271,$H271='Auto Responses'!$J$7),1,0)))))</f>
        <v>0</v>
      </c>
      <c r="M271" s="4" t="str">
        <f>VLOOKUP($A271,'Privacy Analyst Evaluation'!$A$46:$K$120,10,0)&amp;""</f>
        <v/>
      </c>
      <c r="N271" s="4">
        <f t="shared" si="65"/>
        <v>0</v>
      </c>
      <c r="O271" s="108" t="str">
        <f t="shared" si="58"/>
        <v>N/A</v>
      </c>
      <c r="P271" s="108" t="str">
        <f t="shared" si="66"/>
        <v>N/A</v>
      </c>
      <c r="Q271" s="108">
        <f t="shared" si="59"/>
        <v>0</v>
      </c>
      <c r="R271" s="108">
        <f t="shared" si="67"/>
        <v>0</v>
      </c>
      <c r="S271" s="108">
        <f t="shared" si="60"/>
        <v>0</v>
      </c>
      <c r="T271" s="108">
        <f t="shared" si="61"/>
        <v>0</v>
      </c>
      <c r="U271" s="108">
        <f t="shared" si="68"/>
        <v>69</v>
      </c>
      <c r="V271" s="108">
        <f t="shared" si="62"/>
        <v>0</v>
      </c>
    </row>
    <row r="272" spans="1:22" ht="57" x14ac:dyDescent="0.2">
      <c r="A272" s="4" t="str">
        <f>Questions!$A272</f>
        <v>PRPO-11</v>
      </c>
      <c r="B272" s="4" t="str">
        <f t="shared" si="63"/>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 t="shared" si="64"/>
        <v>5</v>
      </c>
      <c r="L272" s="108">
        <f>IF($E272="Not Scored", "N/A",IF(AND($D272='Auto Responses'!$J$27,$H272=""),"N/A",IF(AND($D272='Auto Responses'!$J$27,$H272='Auto Responses'!$J$7),1,IF(AND($D272='Auto Responses'!$J$27,$H272='Auto Responses'!$J$8),0,IF(OR($F272=$G272,$H272='Auto Responses'!$J$7),1,0)))))</f>
        <v>0</v>
      </c>
      <c r="M272" s="4" t="str">
        <f>VLOOKUP($A272,'Privacy Analyst Evaluation'!$A$46:$K$120,10,0)&amp;""</f>
        <v/>
      </c>
      <c r="N272" s="4">
        <f t="shared" si="65"/>
        <v>0</v>
      </c>
      <c r="O272" s="108" t="str">
        <f t="shared" si="58"/>
        <v>N/A</v>
      </c>
      <c r="P272" s="108" t="str">
        <f t="shared" si="66"/>
        <v>N/A</v>
      </c>
      <c r="Q272" s="108">
        <f t="shared" si="59"/>
        <v>0</v>
      </c>
      <c r="R272" s="108">
        <f t="shared" si="67"/>
        <v>0</v>
      </c>
      <c r="S272" s="108">
        <f t="shared" si="60"/>
        <v>0</v>
      </c>
      <c r="T272" s="108">
        <f t="shared" si="61"/>
        <v>0</v>
      </c>
      <c r="U272" s="108">
        <f t="shared" si="68"/>
        <v>69</v>
      </c>
      <c r="V272" s="108">
        <f t="shared" si="62"/>
        <v>0</v>
      </c>
    </row>
    <row r="273" spans="1:22" ht="57" x14ac:dyDescent="0.2">
      <c r="A273" s="4" t="str">
        <f>Questions!$A273</f>
        <v>PRPO-12</v>
      </c>
      <c r="B273" s="4" t="str">
        <f t="shared" si="63"/>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 t="shared" si="64"/>
        <v>20</v>
      </c>
      <c r="L273" s="108">
        <f>IF($E273="Not Scored", "N/A",IF(AND($D273='Auto Responses'!$J$27,$H273=""),"N/A",IF(AND($D273='Auto Responses'!$J$27,$H273='Auto Responses'!$J$7),1,IF(AND($D273='Auto Responses'!$J$27,$H273='Auto Responses'!$J$8),0,IF(OR($F273=$G273,$H273='Auto Responses'!$J$7),1,0)))))</f>
        <v>0</v>
      </c>
      <c r="M273" s="4" t="str">
        <f>VLOOKUP($A273,'Privacy Analyst Evaluation'!$A$46:$K$120,10,0)&amp;""</f>
        <v/>
      </c>
      <c r="N273" s="4">
        <f t="shared" si="65"/>
        <v>1</v>
      </c>
      <c r="O273" s="108" t="str">
        <f t="shared" si="58"/>
        <v>N/A</v>
      </c>
      <c r="P273" s="108" t="str">
        <f t="shared" si="66"/>
        <v>N/A</v>
      </c>
      <c r="Q273" s="108">
        <f t="shared" si="59"/>
        <v>0</v>
      </c>
      <c r="R273" s="108">
        <f t="shared" si="67"/>
        <v>0</v>
      </c>
      <c r="S273" s="108">
        <f t="shared" si="60"/>
        <v>0</v>
      </c>
      <c r="T273" s="108">
        <f t="shared" si="61"/>
        <v>1</v>
      </c>
      <c r="U273" s="108">
        <f t="shared" si="68"/>
        <v>70</v>
      </c>
      <c r="V273" s="108">
        <f t="shared" si="62"/>
        <v>70</v>
      </c>
    </row>
    <row r="274" spans="1:22" ht="57" x14ac:dyDescent="0.2">
      <c r="A274" s="4" t="str">
        <f>Questions!$A274</f>
        <v>PRPO-13</v>
      </c>
      <c r="B274" s="4" t="str">
        <f t="shared" si="63"/>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 t="shared" si="64"/>
        <v>5</v>
      </c>
      <c r="L274" s="108">
        <f>IF($E274="Not Scored", "N/A",IF(AND($D274='Auto Responses'!$J$27,$H274=""),"N/A",IF(AND($D274='Auto Responses'!$J$27,$H274='Auto Responses'!$J$7),1,IF(AND($D274='Auto Responses'!$J$27,$H274='Auto Responses'!$J$8),0,IF(OR($F274=$G274,$H274='Auto Responses'!$J$7),1,0)))))</f>
        <v>0</v>
      </c>
      <c r="M274" s="4" t="str">
        <f>VLOOKUP($A274,'Privacy Analyst Evaluation'!$A$46:$K$120,10,0)&amp;""</f>
        <v/>
      </c>
      <c r="N274" s="4">
        <f t="shared" si="65"/>
        <v>0</v>
      </c>
      <c r="O274" s="108" t="str">
        <f t="shared" si="58"/>
        <v>N/A</v>
      </c>
      <c r="P274" s="108" t="str">
        <f t="shared" si="66"/>
        <v>N/A</v>
      </c>
      <c r="Q274" s="108">
        <f t="shared" si="59"/>
        <v>0</v>
      </c>
      <c r="R274" s="108">
        <f t="shared" si="67"/>
        <v>0</v>
      </c>
      <c r="S274" s="108">
        <f t="shared" si="60"/>
        <v>0</v>
      </c>
      <c r="T274" s="108">
        <f t="shared" si="61"/>
        <v>0</v>
      </c>
      <c r="U274" s="108">
        <f t="shared" si="68"/>
        <v>70</v>
      </c>
      <c r="V274" s="108">
        <f t="shared" si="62"/>
        <v>0</v>
      </c>
    </row>
    <row r="275" spans="1:22" ht="57" x14ac:dyDescent="0.2">
      <c r="A275" s="4" t="str">
        <f>Questions!$A275</f>
        <v>INTL-01</v>
      </c>
      <c r="B275" s="4" t="str">
        <f t="shared" si="63"/>
        <v>INTL</v>
      </c>
      <c r="C275" s="4" t="str">
        <f>VLOOKUP($A275,Questions!$A$3:$L$333,2,0)&amp;""</f>
        <v>Will data be collected from or processed in or stored in the European Economic Area (EEA)?</v>
      </c>
      <c r="D275" s="4" t="str">
        <f>VLOOKUP($A275,Questions!$A$3:$L$333,11,0)&amp;""</f>
        <v>Neutral until evaluated</v>
      </c>
      <c r="E275" s="4" t="str">
        <f>VLOOKUP($A275,Questions!$A$3:$L$333,12,0)&amp;""</f>
        <v>Privacy</v>
      </c>
      <c r="F275" s="4" t="str">
        <f>VLOOKUP($A275,'Privacy Analyst Evaluation'!$A$46:$K$120,3,0)&amp;""</f>
        <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 t="shared" si="64"/>
        <v>10</v>
      </c>
      <c r="L275" s="108" t="str">
        <f>IF($E275="Not Scored", "N/A",IF(AND($D275='Auto Responses'!$J$27,$H275=""),"N/A",IF(AND($D275='Auto Responses'!$J$27,$H275='Auto Responses'!$J$7),1,IF(AND($D275='Auto Responses'!$J$27,$H275='Auto Responses'!$J$8),0,IF(OR($F275=$G275,$H275='Auto Responses'!$J$7),1,0)))))</f>
        <v>N/A</v>
      </c>
      <c r="M275" s="4" t="str">
        <f>VLOOKUP($A275,'Privacy Analyst Evaluation'!$A$46:$K$120,10,0)&amp;""</f>
        <v/>
      </c>
      <c r="N275" s="4">
        <f t="shared" si="65"/>
        <v>0</v>
      </c>
      <c r="O275" s="108" t="str">
        <f t="shared" si="58"/>
        <v>N/A</v>
      </c>
      <c r="P275" s="108" t="str">
        <f t="shared" si="66"/>
        <v>N/A</v>
      </c>
      <c r="Q275" s="108">
        <f t="shared" si="59"/>
        <v>0</v>
      </c>
      <c r="R275" s="108">
        <f t="shared" si="67"/>
        <v>0</v>
      </c>
      <c r="S275" s="108">
        <f t="shared" si="60"/>
        <v>0</v>
      </c>
      <c r="T275" s="108">
        <f t="shared" si="61"/>
        <v>0</v>
      </c>
      <c r="U275" s="108">
        <f t="shared" si="68"/>
        <v>70</v>
      </c>
      <c r="V275" s="108">
        <f t="shared" si="62"/>
        <v>0</v>
      </c>
    </row>
    <row r="276" spans="1:22" ht="57" x14ac:dyDescent="0.2">
      <c r="A276" s="4" t="str">
        <f>Questions!$A276</f>
        <v>INTL-02</v>
      </c>
      <c r="B276" s="4" t="str">
        <f t="shared" si="63"/>
        <v>INTL</v>
      </c>
      <c r="C276" s="4" t="str">
        <f>VLOOKUP($A276,Questions!$A$3:$L$333,2,0)&amp;""</f>
        <v>Do you have a data protection officer (DPO)?</v>
      </c>
      <c r="D276" s="4" t="str">
        <f>VLOOKUP($A276,Questions!$A$3:$L$333,11,0)&amp;""</f>
        <v>Neutral until evaluated</v>
      </c>
      <c r="E276" s="4" t="str">
        <f>VLOOKUP($A276,Questions!$A$3:$L$333,12,0)&amp;""</f>
        <v>Privacy</v>
      </c>
      <c r="F276" s="4" t="str">
        <f>VLOOKUP($A276,'Privacy Analyst Evaluation'!$A$46:$K$120,3,0)&amp;""</f>
        <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 t="shared" si="64"/>
        <v>10</v>
      </c>
      <c r="L276" s="108" t="str">
        <f>IF($E276="Not Scored", "N/A",IF(AND($D276='Auto Responses'!$J$27,$H276=""),"N/A",IF(AND($D276='Auto Responses'!$J$27,$H276='Auto Responses'!$J$7),1,IF(AND($D276='Auto Responses'!$J$27,$H276='Auto Responses'!$J$8),0,IF(OR($F276=$G276,$H276='Auto Responses'!$J$7),1,0)))))</f>
        <v>N/A</v>
      </c>
      <c r="M276" s="4" t="str">
        <f>VLOOKUP($A276,'Privacy Analyst Evaluation'!$A$46:$K$120,10,0)&amp;""</f>
        <v/>
      </c>
      <c r="N276" s="4">
        <f t="shared" si="65"/>
        <v>0</v>
      </c>
      <c r="O276" s="108" t="str">
        <f t="shared" si="58"/>
        <v>N/A</v>
      </c>
      <c r="P276" s="108" t="str">
        <f t="shared" si="66"/>
        <v>N/A</v>
      </c>
      <c r="Q276" s="108">
        <f t="shared" si="59"/>
        <v>0</v>
      </c>
      <c r="R276" s="108">
        <f t="shared" si="67"/>
        <v>0</v>
      </c>
      <c r="S276" s="108">
        <f t="shared" si="60"/>
        <v>0</v>
      </c>
      <c r="T276" s="108">
        <f t="shared" si="61"/>
        <v>0</v>
      </c>
      <c r="U276" s="108">
        <f t="shared" si="68"/>
        <v>70</v>
      </c>
      <c r="V276" s="108">
        <f t="shared" si="62"/>
        <v>0</v>
      </c>
    </row>
    <row r="277" spans="1:22" ht="57" x14ac:dyDescent="0.2">
      <c r="A277" s="4" t="str">
        <f>Questions!$A277</f>
        <v>INTL-03</v>
      </c>
      <c r="B277" s="4" t="str">
        <f t="shared" si="63"/>
        <v>INTL</v>
      </c>
      <c r="C277" s="4" t="str">
        <f>VLOOKUP($A277,Questions!$A$3:$L$333,2,0)&amp;""</f>
        <v>Will you sign appropriate GDPR Standard Contractual Clauses (SCCs) with the institution?</v>
      </c>
      <c r="D277" s="4" t="str">
        <f>VLOOKUP($A277,Questions!$A$3:$L$333,11,0)&amp;""</f>
        <v>Neutral until evaluated</v>
      </c>
      <c r="E277" s="4" t="str">
        <f>VLOOKUP($A277,Questions!$A$3:$L$333,12,0)&amp;""</f>
        <v>Privacy</v>
      </c>
      <c r="F277" s="4" t="str">
        <f>VLOOKUP($A277,'Privacy Analyst Evaluation'!$A$46:$K$120,3,0)&amp;""</f>
        <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 t="shared" si="64"/>
        <v>10</v>
      </c>
      <c r="L277" s="108" t="str">
        <f>IF($E277="Not Scored", "N/A",IF(AND($D277='Auto Responses'!$J$27,$H277=""),"N/A",IF(AND($D277='Auto Responses'!$J$27,$H277='Auto Responses'!$J$7),1,IF(AND($D277='Auto Responses'!$J$27,$H277='Auto Responses'!$J$8),0,IF(OR($F277=$G277,$H277='Auto Responses'!$J$7),1,0)))))</f>
        <v>N/A</v>
      </c>
      <c r="M277" s="4" t="str">
        <f>VLOOKUP($A277,'Privacy Analyst Evaluation'!$A$46:$K$120,10,0)&amp;""</f>
        <v/>
      </c>
      <c r="N277" s="4">
        <f t="shared" si="65"/>
        <v>0</v>
      </c>
      <c r="O277" s="108" t="str">
        <f t="shared" si="58"/>
        <v>N/A</v>
      </c>
      <c r="P277" s="108" t="str">
        <f t="shared" si="66"/>
        <v>N/A</v>
      </c>
      <c r="Q277" s="108">
        <f t="shared" si="59"/>
        <v>0</v>
      </c>
      <c r="R277" s="108">
        <f t="shared" si="67"/>
        <v>0</v>
      </c>
      <c r="S277" s="108">
        <f t="shared" si="60"/>
        <v>0</v>
      </c>
      <c r="T277" s="108">
        <f t="shared" si="61"/>
        <v>0</v>
      </c>
      <c r="U277" s="108">
        <f t="shared" si="68"/>
        <v>70</v>
      </c>
      <c r="V277" s="108">
        <f t="shared" si="62"/>
        <v>0</v>
      </c>
    </row>
    <row r="278" spans="1:22" ht="57" x14ac:dyDescent="0.2">
      <c r="A278" s="4" t="str">
        <f>Questions!$A278</f>
        <v>INTL-04</v>
      </c>
      <c r="B278" s="4" t="str">
        <f t="shared" si="63"/>
        <v>INTL</v>
      </c>
      <c r="C278" s="4" t="str">
        <f>VLOOKUP($A278,Questions!$A$3:$L$333,2,0)&amp;""</f>
        <v>Will data be collected from or processed in or stored in China?</v>
      </c>
      <c r="D278" s="4" t="str">
        <f>VLOOKUP($A278,Questions!$A$3:$L$333,11,0)&amp;""</f>
        <v>Neutral until evaluated</v>
      </c>
      <c r="E278" s="4" t="str">
        <f>VLOOKUP($A278,Questions!$A$3:$L$333,12,0)&amp;""</f>
        <v>Privacy</v>
      </c>
      <c r="F278" s="4" t="str">
        <f>VLOOKUP($A278,'Privacy Analyst Evaluation'!$A$46:$K$120,3,0)&amp;""</f>
        <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 t="shared" si="64"/>
        <v>10</v>
      </c>
      <c r="L278" s="108" t="str">
        <f>IF($E278="Not Scored", "N/A",IF(AND($D278='Auto Responses'!$J$27,$H278=""),"N/A",IF(AND($D278='Auto Responses'!$J$27,$H278='Auto Responses'!$J$7),1,IF(AND($D278='Auto Responses'!$J$27,$H278='Auto Responses'!$J$8),0,IF(OR($F278=$G278,$H278='Auto Responses'!$J$7),1,0)))))</f>
        <v>N/A</v>
      </c>
      <c r="M278" s="4" t="str">
        <f>VLOOKUP($A278,'Privacy Analyst Evaluation'!$A$46:$K$120,10,0)&amp;""</f>
        <v/>
      </c>
      <c r="N278" s="4">
        <f t="shared" si="65"/>
        <v>0</v>
      </c>
      <c r="O278" s="108" t="str">
        <f t="shared" si="58"/>
        <v>N/A</v>
      </c>
      <c r="P278" s="108" t="str">
        <f t="shared" si="66"/>
        <v>N/A</v>
      </c>
      <c r="Q278" s="108">
        <f t="shared" si="59"/>
        <v>0</v>
      </c>
      <c r="R278" s="108">
        <f t="shared" si="67"/>
        <v>0</v>
      </c>
      <c r="S278" s="108">
        <f t="shared" si="60"/>
        <v>0</v>
      </c>
      <c r="T278" s="108">
        <f t="shared" si="61"/>
        <v>0</v>
      </c>
      <c r="U278" s="108">
        <f t="shared" si="68"/>
        <v>70</v>
      </c>
      <c r="V278" s="108">
        <f t="shared" si="62"/>
        <v>0</v>
      </c>
    </row>
    <row r="279" spans="1:22" ht="57" x14ac:dyDescent="0.2">
      <c r="A279" s="4" t="str">
        <f>Questions!$A279</f>
        <v>INTL-05</v>
      </c>
      <c r="B279" s="4" t="str">
        <f t="shared" si="63"/>
        <v>INTL</v>
      </c>
      <c r="C279" s="4" t="str">
        <f>VLOOKUP($A279,Questions!$A$3:$L$333,2,0)&amp;""</f>
        <v>Do you comply with PIPL security, privacy, and data localization requirements?</v>
      </c>
      <c r="D279" s="4" t="str">
        <f>VLOOKUP($A279,Questions!$A$3:$L$333,11,0)&amp;""</f>
        <v>Neutral until evaluated</v>
      </c>
      <c r="E279" s="4" t="str">
        <f>VLOOKUP($A279,Questions!$A$3:$L$333,12,0)&amp;""</f>
        <v>Privacy</v>
      </c>
      <c r="F279" s="4" t="str">
        <f>VLOOKUP($A279,'Privacy Analyst Evaluation'!$A$46:$K$120,3,0)&amp;""</f>
        <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 t="shared" si="64"/>
        <v>10</v>
      </c>
      <c r="L279" s="108" t="str">
        <f>IF($E279="Not Scored", "N/A",IF(AND($D279='Auto Responses'!$J$27,$H279=""),"N/A",IF(AND($D279='Auto Responses'!$J$27,$H279='Auto Responses'!$J$7),1,IF(AND($D279='Auto Responses'!$J$27,$H279='Auto Responses'!$J$8),0,IF(OR($F279=$G279,$H279='Auto Responses'!$J$7),1,0)))))</f>
        <v>N/A</v>
      </c>
      <c r="M279" s="4" t="str">
        <f>VLOOKUP($A279,'Privacy Analyst Evaluation'!$A$46:$K$120,10,0)&amp;""</f>
        <v/>
      </c>
      <c r="N279" s="4">
        <f t="shared" si="65"/>
        <v>0</v>
      </c>
      <c r="O279" s="108" t="str">
        <f>IF(OR($E279="Not Scored",$F279="N/A",$F$24="No"),"N/A",IF($J279="",$K279,IF($J279="Minor Importance",5,IF($J279="Standard Importance",10,IF($J279="Critical Importance",20,0)))))</f>
        <v>N/A</v>
      </c>
      <c r="P279" s="108" t="str">
        <f t="shared" si="66"/>
        <v>N/A</v>
      </c>
      <c r="Q279" s="108">
        <f t="shared" si="59"/>
        <v>0</v>
      </c>
      <c r="R279" s="108">
        <f t="shared" si="67"/>
        <v>0</v>
      </c>
      <c r="S279" s="108">
        <f t="shared" si="60"/>
        <v>0</v>
      </c>
      <c r="T279" s="108">
        <f t="shared" si="61"/>
        <v>0</v>
      </c>
      <c r="U279" s="108">
        <f t="shared" si="68"/>
        <v>70</v>
      </c>
      <c r="V279" s="108">
        <f t="shared" si="62"/>
        <v>0</v>
      </c>
    </row>
    <row r="280" spans="1:22" ht="57" x14ac:dyDescent="0.2">
      <c r="A280" s="4" t="str">
        <f>Questions!$A280</f>
        <v>DRPV-01</v>
      </c>
      <c r="B280" s="4" t="str">
        <f t="shared" si="63"/>
        <v>DRPV</v>
      </c>
      <c r="C280" s="4" t="str">
        <f>VLOOKUP($A280,Questions!$A$3:$L$333,2,0)&amp;""</f>
        <v>Have you performed a Data Privacy Impact Assesssment for the solution/project?</v>
      </c>
      <c r="D280" s="4" t="str">
        <f>VLOOKUP($A280,Questions!$A$3:$L$333,11,0)&amp;""</f>
        <v/>
      </c>
      <c r="E280" s="4" t="str">
        <f>VLOOKUP($A280,Questions!$A$3:$L$333,12,0)&amp;""</f>
        <v>Privacy</v>
      </c>
      <c r="F280" s="4" t="str">
        <f>VLOOKUP($A280,'Privacy Analyst Evaluation'!$A$46:$K$120,3,0)&amp;""</f>
        <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 t="shared" si="64"/>
        <v>10</v>
      </c>
      <c r="L280" s="108">
        <f>IF($E280="Not Scored", "N/A",IF(AND($D280='Auto Responses'!$J$27,$H280=""),"N/A",IF(AND($D280='Auto Responses'!$J$27,$H280='Auto Responses'!$J$7),1,IF(AND($D280='Auto Responses'!$J$27,$H280='Auto Responses'!$J$8),0,IF(OR($F280=$G280,$H280='Auto Responses'!$J$7),1,0)))))</f>
        <v>0</v>
      </c>
      <c r="M280" s="4" t="str">
        <f>VLOOKUP($A280,'Privacy Analyst Evaluation'!$A$46:$K$120,10,0)&amp;""</f>
        <v/>
      </c>
      <c r="N280" s="4">
        <f t="shared" si="65"/>
        <v>0</v>
      </c>
      <c r="O280" s="108" t="str">
        <f t="shared" si="58"/>
        <v>N/A</v>
      </c>
      <c r="P280" s="108" t="str">
        <f t="shared" si="66"/>
        <v>N/A</v>
      </c>
      <c r="Q280" s="108">
        <f t="shared" si="59"/>
        <v>0</v>
      </c>
      <c r="R280" s="108">
        <f t="shared" si="67"/>
        <v>0</v>
      </c>
      <c r="S280" s="108">
        <f t="shared" si="60"/>
        <v>0</v>
      </c>
      <c r="T280" s="108">
        <f t="shared" si="61"/>
        <v>0</v>
      </c>
      <c r="U280" s="108">
        <f t="shared" si="68"/>
        <v>70</v>
      </c>
      <c r="V280" s="108">
        <f t="shared" si="62"/>
        <v>0</v>
      </c>
    </row>
    <row r="281" spans="1:22" ht="57" x14ac:dyDescent="0.2">
      <c r="A281" s="4" t="str">
        <f>Questions!$A281</f>
        <v>DRPV-02</v>
      </c>
      <c r="B281" s="4" t="str">
        <f t="shared" si="63"/>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 t="shared" si="64"/>
        <v>10</v>
      </c>
      <c r="L281" s="108">
        <f>IF($E281="Not Scored", "N/A",IF(AND($D281='Auto Responses'!$J$27,$H281=""),"N/A",IF(AND($D281='Auto Responses'!$J$27,$H281='Auto Responses'!$J$7),1,IF(AND($D281='Auto Responses'!$J$27,$H281='Auto Responses'!$J$8),0,IF(OR($F281=$G281,$H281='Auto Responses'!$J$7),1,0)))))</f>
        <v>0</v>
      </c>
      <c r="M281" s="4" t="str">
        <f>VLOOKUP($A281,'Privacy Analyst Evaluation'!$A$46:$K$120,10,0)&amp;""</f>
        <v/>
      </c>
      <c r="N281" s="4">
        <f t="shared" si="65"/>
        <v>0</v>
      </c>
      <c r="O281" s="108" t="str">
        <f t="shared" si="58"/>
        <v>N/A</v>
      </c>
      <c r="P281" s="108" t="str">
        <f t="shared" si="66"/>
        <v>N/A</v>
      </c>
      <c r="Q281" s="108">
        <f t="shared" si="59"/>
        <v>0</v>
      </c>
      <c r="R281" s="108">
        <f t="shared" si="67"/>
        <v>0</v>
      </c>
      <c r="S281" s="108">
        <f t="shared" si="60"/>
        <v>0</v>
      </c>
      <c r="T281" s="108">
        <f t="shared" si="61"/>
        <v>0</v>
      </c>
      <c r="U281" s="108">
        <f t="shared" si="68"/>
        <v>70</v>
      </c>
      <c r="V281" s="108">
        <f t="shared" si="62"/>
        <v>0</v>
      </c>
    </row>
    <row r="282" spans="1:22" ht="57" x14ac:dyDescent="0.2">
      <c r="A282" s="4" t="str">
        <f>Questions!$A282</f>
        <v>DRPV-03</v>
      </c>
      <c r="B282" s="4" t="str">
        <f t="shared" si="63"/>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 t="shared" si="64"/>
        <v>10</v>
      </c>
      <c r="L282" s="108">
        <f>IF($E282="Not Scored", "N/A",IF(AND($D282='Auto Responses'!$J$27,$H282=""),"N/A",IF(AND($D282='Auto Responses'!$J$27,$H282='Auto Responses'!$J$7),1,IF(AND($D282='Auto Responses'!$J$27,$H282='Auto Responses'!$J$8),0,IF(OR($F282=$G282,$H282='Auto Responses'!$J$7),1,0)))))</f>
        <v>0</v>
      </c>
      <c r="M282" s="4" t="str">
        <f>VLOOKUP($A282,'Privacy Analyst Evaluation'!$A$46:$K$120,10,0)&amp;""</f>
        <v/>
      </c>
      <c r="N282" s="4">
        <f t="shared" si="65"/>
        <v>0</v>
      </c>
      <c r="O282" s="108" t="str">
        <f>IF(OR($E282="Not Scored",$F282="N/A",$F$24="No"),"N/A",IF($J282="",$K282,IF($J282="Minor Importance",5,IF($J282="Standard Importance",10,IF($J282="Critical Importance",20,0)))))</f>
        <v>N/A</v>
      </c>
      <c r="P282" s="108" t="str">
        <f t="shared" si="66"/>
        <v>N/A</v>
      </c>
      <c r="Q282" s="108">
        <f t="shared" si="59"/>
        <v>0</v>
      </c>
      <c r="R282" s="108">
        <f t="shared" si="67"/>
        <v>0</v>
      </c>
      <c r="S282" s="108">
        <f t="shared" si="60"/>
        <v>0</v>
      </c>
      <c r="T282" s="108">
        <f t="shared" si="61"/>
        <v>0</v>
      </c>
      <c r="U282" s="108">
        <f t="shared" si="68"/>
        <v>70</v>
      </c>
      <c r="V282" s="108">
        <f t="shared" si="62"/>
        <v>0</v>
      </c>
    </row>
    <row r="283" spans="1:22" ht="57" x14ac:dyDescent="0.2">
      <c r="A283" s="4" t="str">
        <f>Questions!$A283</f>
        <v>DRPV-04</v>
      </c>
      <c r="B283" s="4" t="str">
        <f t="shared" si="63"/>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 t="shared" si="64"/>
        <v>10</v>
      </c>
      <c r="L283" s="108">
        <f>IF($E283="Not Scored", "N/A",IF(AND($D283='Auto Responses'!$J$27,$H283=""),"N/A",IF(AND($D283='Auto Responses'!$J$27,$H283='Auto Responses'!$J$7),1,IF(AND($D283='Auto Responses'!$J$27,$H283='Auto Responses'!$J$8),0,IF(OR($F283=$G283,$H283='Auto Responses'!$J$7),1,0)))))</f>
        <v>0</v>
      </c>
      <c r="M283" s="4" t="str">
        <f>VLOOKUP($A283,'Privacy Analyst Evaluation'!$A$46:$K$120,10,0)&amp;""</f>
        <v/>
      </c>
      <c r="N283" s="4">
        <f t="shared" si="65"/>
        <v>0</v>
      </c>
      <c r="O283" s="108" t="str">
        <f t="shared" ref="O283:O293" si="69">IF(OR($E283="Not Scored",$F283="N/A",$F$24="No"),"N/A",IF($J283="",$K283,IF($J283="Minor Importance",5,IF($J283="Standard Importance",10,IF($J283="Critical Importance",20,0)))))</f>
        <v>N/A</v>
      </c>
      <c r="P283" s="108" t="str">
        <f t="shared" si="66"/>
        <v>N/A</v>
      </c>
      <c r="Q283" s="108">
        <f t="shared" si="59"/>
        <v>0</v>
      </c>
      <c r="R283" s="108">
        <f t="shared" si="67"/>
        <v>0</v>
      </c>
      <c r="S283" s="108">
        <f t="shared" si="60"/>
        <v>0</v>
      </c>
      <c r="T283" s="108">
        <f t="shared" si="61"/>
        <v>0</v>
      </c>
      <c r="U283" s="108">
        <f t="shared" si="68"/>
        <v>70</v>
      </c>
      <c r="V283" s="108">
        <f t="shared" si="62"/>
        <v>0</v>
      </c>
    </row>
    <row r="284" spans="1:22" ht="57" x14ac:dyDescent="0.2">
      <c r="A284" s="4" t="str">
        <f>Questions!$A284</f>
        <v>DRPV-05</v>
      </c>
      <c r="B284" s="4" t="str">
        <f t="shared" si="63"/>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 t="shared" si="64"/>
        <v>10</v>
      </c>
      <c r="L284" s="108">
        <f>IF($E284="Not Scored", "N/A",IF(AND($D284='Auto Responses'!$J$27,$H284=""),"N/A",IF(AND($D284='Auto Responses'!$J$27,$H284='Auto Responses'!$J$7),1,IF(AND($D284='Auto Responses'!$J$27,$H284='Auto Responses'!$J$8),0,IF(OR($F284=$G284,$H284='Auto Responses'!$J$7),1,0)))))</f>
        <v>0</v>
      </c>
      <c r="M284" s="4" t="str">
        <f>VLOOKUP($A284,'Privacy Analyst Evaluation'!$A$46:$K$120,10,0)&amp;""</f>
        <v/>
      </c>
      <c r="N284" s="4">
        <f t="shared" si="65"/>
        <v>0</v>
      </c>
      <c r="O284" s="108" t="str">
        <f t="shared" si="69"/>
        <v>N/A</v>
      </c>
      <c r="P284" s="108" t="str">
        <f t="shared" si="66"/>
        <v>N/A</v>
      </c>
      <c r="Q284" s="108">
        <f t="shared" si="59"/>
        <v>0</v>
      </c>
      <c r="R284" s="108">
        <f t="shared" si="67"/>
        <v>0</v>
      </c>
      <c r="S284" s="108">
        <f t="shared" si="60"/>
        <v>0</v>
      </c>
      <c r="T284" s="108">
        <f t="shared" si="61"/>
        <v>0</v>
      </c>
      <c r="U284" s="108">
        <f t="shared" si="68"/>
        <v>70</v>
      </c>
      <c r="V284" s="108">
        <f t="shared" si="62"/>
        <v>0</v>
      </c>
    </row>
    <row r="285" spans="1:22" ht="57" x14ac:dyDescent="0.2">
      <c r="A285" s="4" t="str">
        <f>Questions!$A285</f>
        <v>DRPV-06</v>
      </c>
      <c r="B285" s="4" t="str">
        <f t="shared" si="63"/>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 t="shared" si="64"/>
        <v>10</v>
      </c>
      <c r="L285" s="108">
        <f>IF($E285="Not Scored", "N/A",IF(AND($D285='Auto Responses'!$J$27,$H285=""),"N/A",IF(AND($D285='Auto Responses'!$J$27,$H285='Auto Responses'!$J$7),1,IF(AND($D285='Auto Responses'!$J$27,$H285='Auto Responses'!$J$8),0,IF(OR($F285=$G285,$H285='Auto Responses'!$J$7),1,0)))))</f>
        <v>0</v>
      </c>
      <c r="M285" s="4" t="str">
        <f>VLOOKUP($A285,'Privacy Analyst Evaluation'!$A$46:$K$120,10,0)&amp;""</f>
        <v/>
      </c>
      <c r="N285" s="4">
        <f t="shared" si="65"/>
        <v>0</v>
      </c>
      <c r="O285" s="108" t="str">
        <f t="shared" si="69"/>
        <v>N/A</v>
      </c>
      <c r="P285" s="108" t="str">
        <f t="shared" si="66"/>
        <v>N/A</v>
      </c>
      <c r="Q285" s="108">
        <f t="shared" si="59"/>
        <v>0</v>
      </c>
      <c r="R285" s="108">
        <f t="shared" si="67"/>
        <v>0</v>
      </c>
      <c r="S285" s="108">
        <f t="shared" si="60"/>
        <v>0</v>
      </c>
      <c r="T285" s="108">
        <f t="shared" si="61"/>
        <v>0</v>
      </c>
      <c r="U285" s="108">
        <f t="shared" si="68"/>
        <v>70</v>
      </c>
      <c r="V285" s="108">
        <f t="shared" si="62"/>
        <v>0</v>
      </c>
    </row>
    <row r="286" spans="1:22" ht="57" x14ac:dyDescent="0.2">
      <c r="A286" s="4" t="str">
        <f>Questions!$A286</f>
        <v>DRPV-07</v>
      </c>
      <c r="B286" s="4" t="str">
        <f t="shared" si="63"/>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 t="shared" si="64"/>
        <v>10</v>
      </c>
      <c r="L286" s="108">
        <f>IF($E286="Not Scored", "N/A",IF(AND($D286='Auto Responses'!$J$27,$H286=""),"N/A",IF(AND($D286='Auto Responses'!$J$27,$H286='Auto Responses'!$J$7),1,IF(AND($D286='Auto Responses'!$J$27,$H286='Auto Responses'!$J$8),0,IF(OR($F286=$G286,$H286='Auto Responses'!$J$7),1,0)))))</f>
        <v>0</v>
      </c>
      <c r="M286" s="4" t="str">
        <f>VLOOKUP($A286,'Privacy Analyst Evaluation'!$A$46:$K$120,10,0)&amp;""</f>
        <v/>
      </c>
      <c r="N286" s="4">
        <f t="shared" si="65"/>
        <v>0</v>
      </c>
      <c r="O286" s="108" t="str">
        <f t="shared" si="69"/>
        <v>N/A</v>
      </c>
      <c r="P286" s="108" t="str">
        <f t="shared" si="66"/>
        <v>N/A</v>
      </c>
      <c r="Q286" s="108">
        <f t="shared" si="59"/>
        <v>0</v>
      </c>
      <c r="R286" s="108">
        <f t="shared" si="67"/>
        <v>0</v>
      </c>
      <c r="S286" s="108">
        <f t="shared" si="60"/>
        <v>0</v>
      </c>
      <c r="T286" s="108">
        <f t="shared" si="61"/>
        <v>0</v>
      </c>
      <c r="U286" s="108">
        <f t="shared" si="68"/>
        <v>70</v>
      </c>
      <c r="V286" s="108">
        <f t="shared" si="62"/>
        <v>0</v>
      </c>
    </row>
    <row r="287" spans="1:22" ht="57" x14ac:dyDescent="0.2">
      <c r="A287" s="4" t="str">
        <f>Questions!$A287</f>
        <v>DRPV-08</v>
      </c>
      <c r="B287" s="4" t="str">
        <f t="shared" si="63"/>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 t="shared" si="64"/>
        <v>10</v>
      </c>
      <c r="L287" s="108">
        <f>IF($E287="Not Scored", "N/A",IF(AND($D287='Auto Responses'!$J$27,$H287=""),"N/A",IF(AND($D287='Auto Responses'!$J$27,$H287='Auto Responses'!$J$7),1,IF(AND($D287='Auto Responses'!$J$27,$H287='Auto Responses'!$J$8),0,IF(OR($F287=$G287,$H287='Auto Responses'!$J$7),1,0)))))</f>
        <v>0</v>
      </c>
      <c r="M287" s="4" t="str">
        <f>VLOOKUP($A287,'Privacy Analyst Evaluation'!$A$46:$K$120,10,0)&amp;""</f>
        <v/>
      </c>
      <c r="N287" s="4">
        <f t="shared" si="65"/>
        <v>0</v>
      </c>
      <c r="O287" s="108" t="str">
        <f t="shared" si="69"/>
        <v>N/A</v>
      </c>
      <c r="P287" s="108" t="str">
        <f t="shared" si="66"/>
        <v>N/A</v>
      </c>
      <c r="Q287" s="108">
        <f t="shared" si="59"/>
        <v>0</v>
      </c>
      <c r="R287" s="108">
        <f t="shared" si="67"/>
        <v>0</v>
      </c>
      <c r="S287" s="108">
        <f t="shared" si="60"/>
        <v>0</v>
      </c>
      <c r="T287" s="108">
        <f t="shared" si="61"/>
        <v>0</v>
      </c>
      <c r="U287" s="108">
        <f t="shared" si="68"/>
        <v>70</v>
      </c>
      <c r="V287" s="108">
        <f t="shared" si="62"/>
        <v>0</v>
      </c>
    </row>
    <row r="288" spans="1:22" ht="57" x14ac:dyDescent="0.2">
      <c r="A288" s="4" t="str">
        <f>Questions!$A288</f>
        <v>DRPV-09</v>
      </c>
      <c r="B288" s="4" t="str">
        <f t="shared" si="63"/>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 t="shared" si="64"/>
        <v>10</v>
      </c>
      <c r="L288" s="108">
        <f>IF($E288="Not Scored", "N/A",IF(AND($D288='Auto Responses'!$J$27,$H288=""),"N/A",IF(AND($D288='Auto Responses'!$J$27,$H288='Auto Responses'!$J$7),1,IF(AND($D288='Auto Responses'!$J$27,$H288='Auto Responses'!$J$8),0,IF(OR($F288=$G288,$H288='Auto Responses'!$J$7),1,0)))))</f>
        <v>0</v>
      </c>
      <c r="M288" s="4" t="str">
        <f>VLOOKUP($A288,'Privacy Analyst Evaluation'!$A$46:$K$120,10,0)&amp;""</f>
        <v/>
      </c>
      <c r="N288" s="4">
        <f t="shared" si="65"/>
        <v>0</v>
      </c>
      <c r="O288" s="108" t="str">
        <f t="shared" si="69"/>
        <v>N/A</v>
      </c>
      <c r="P288" s="108" t="str">
        <f t="shared" si="66"/>
        <v>N/A</v>
      </c>
      <c r="Q288" s="108">
        <f t="shared" si="59"/>
        <v>0</v>
      </c>
      <c r="R288" s="108">
        <f t="shared" si="67"/>
        <v>0</v>
      </c>
      <c r="S288" s="108">
        <f t="shared" si="60"/>
        <v>0</v>
      </c>
      <c r="T288" s="108">
        <f t="shared" si="61"/>
        <v>0</v>
      </c>
      <c r="U288" s="108">
        <f t="shared" si="68"/>
        <v>70</v>
      </c>
      <c r="V288" s="108">
        <f t="shared" si="62"/>
        <v>0</v>
      </c>
    </row>
    <row r="289" spans="1:22" ht="57" x14ac:dyDescent="0.2">
      <c r="A289" s="4" t="str">
        <f>Questions!$A289</f>
        <v>DRPV-10</v>
      </c>
      <c r="B289" s="4" t="str">
        <f t="shared" si="63"/>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 t="shared" si="64"/>
        <v>10</v>
      </c>
      <c r="L289" s="108">
        <f>IF($E289="Not Scored", "N/A",IF(AND($D289='Auto Responses'!$J$27,$H289=""),"N/A",IF(AND($D289='Auto Responses'!$J$27,$H289='Auto Responses'!$J$7),1,IF(AND($D289='Auto Responses'!$J$27,$H289='Auto Responses'!$J$8),0,IF(OR($F289=$G289,$H289='Auto Responses'!$J$7),1,0)))))</f>
        <v>0</v>
      </c>
      <c r="M289" s="4" t="str">
        <f>VLOOKUP($A289,'Privacy Analyst Evaluation'!$A$46:$K$120,10,0)&amp;""</f>
        <v/>
      </c>
      <c r="N289" s="4">
        <f t="shared" si="65"/>
        <v>0</v>
      </c>
      <c r="O289" s="108" t="str">
        <f t="shared" si="69"/>
        <v>N/A</v>
      </c>
      <c r="P289" s="108" t="str">
        <f t="shared" si="66"/>
        <v>N/A</v>
      </c>
      <c r="Q289" s="108">
        <f t="shared" si="59"/>
        <v>0</v>
      </c>
      <c r="R289" s="108">
        <f t="shared" si="67"/>
        <v>0</v>
      </c>
      <c r="S289" s="108">
        <f t="shared" si="60"/>
        <v>0</v>
      </c>
      <c r="T289" s="108">
        <f t="shared" si="61"/>
        <v>0</v>
      </c>
      <c r="U289" s="108">
        <f t="shared" si="68"/>
        <v>70</v>
      </c>
      <c r="V289" s="108">
        <f t="shared" si="62"/>
        <v>0</v>
      </c>
    </row>
    <row r="290" spans="1:22" ht="57" x14ac:dyDescent="0.2">
      <c r="A290" s="4" t="str">
        <f>Questions!$A290</f>
        <v>DRPV-11</v>
      </c>
      <c r="B290" s="4" t="str">
        <f t="shared" si="63"/>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 t="shared" si="64"/>
        <v>10</v>
      </c>
      <c r="L290" s="108">
        <f>IF($E290="Not Scored", "N/A",IF(AND($D290='Auto Responses'!$J$27,$H290=""),"N/A",IF(AND($D290='Auto Responses'!$J$27,$H290='Auto Responses'!$J$7),1,IF(AND($D290='Auto Responses'!$J$27,$H290='Auto Responses'!$J$8),0,IF(OR($F290=$G290,$H290='Auto Responses'!$J$7),1,0)))))</f>
        <v>0</v>
      </c>
      <c r="M290" s="4" t="str">
        <f>VLOOKUP($A290,'Privacy Analyst Evaluation'!$A$46:$K$120,10,0)&amp;""</f>
        <v/>
      </c>
      <c r="N290" s="4">
        <f t="shared" si="65"/>
        <v>0</v>
      </c>
      <c r="O290" s="108" t="str">
        <f t="shared" si="69"/>
        <v>N/A</v>
      </c>
      <c r="P290" s="108" t="str">
        <f t="shared" si="66"/>
        <v>N/A</v>
      </c>
      <c r="Q290" s="108">
        <f t="shared" si="59"/>
        <v>0</v>
      </c>
      <c r="R290" s="108">
        <f t="shared" si="67"/>
        <v>0</v>
      </c>
      <c r="S290" s="108">
        <f t="shared" si="60"/>
        <v>0</v>
      </c>
      <c r="T290" s="108">
        <f t="shared" si="61"/>
        <v>0</v>
      </c>
      <c r="U290" s="108">
        <f t="shared" si="68"/>
        <v>70</v>
      </c>
      <c r="V290" s="108">
        <f t="shared" si="62"/>
        <v>0</v>
      </c>
    </row>
    <row r="291" spans="1:22" ht="57" x14ac:dyDescent="0.2">
      <c r="A291" s="4" t="str">
        <f>Questions!$A291</f>
        <v>DRPV-12</v>
      </c>
      <c r="B291" s="4" t="str">
        <f t="shared" si="63"/>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 t="shared" si="64"/>
        <v>10</v>
      </c>
      <c r="L291" s="108">
        <f>IF($E291="Not Scored", "N/A",IF(AND($D291='Auto Responses'!$J$27,$H291=""),"N/A",IF(AND($D291='Auto Responses'!$J$27,$H291='Auto Responses'!$J$7),1,IF(AND($D291='Auto Responses'!$J$27,$H291='Auto Responses'!$J$8),0,IF(OR($F291=$G291,$H291='Auto Responses'!$J$7),1,0)))))</f>
        <v>0</v>
      </c>
      <c r="M291" s="4" t="str">
        <f>VLOOKUP($A291,'Privacy Analyst Evaluation'!$A$46:$K$120,10,0)&amp;""</f>
        <v/>
      </c>
      <c r="N291" s="4">
        <f t="shared" si="65"/>
        <v>0</v>
      </c>
      <c r="O291" s="108" t="str">
        <f t="shared" si="69"/>
        <v>N/A</v>
      </c>
      <c r="P291" s="108" t="str">
        <f t="shared" si="66"/>
        <v>N/A</v>
      </c>
      <c r="Q291" s="108">
        <f t="shared" si="59"/>
        <v>0</v>
      </c>
      <c r="R291" s="108">
        <f t="shared" si="67"/>
        <v>0</v>
      </c>
      <c r="S291" s="108">
        <f t="shared" si="60"/>
        <v>0</v>
      </c>
      <c r="T291" s="108">
        <f t="shared" si="61"/>
        <v>0</v>
      </c>
      <c r="U291" s="108">
        <f t="shared" si="68"/>
        <v>70</v>
      </c>
      <c r="V291" s="108">
        <f t="shared" si="62"/>
        <v>0</v>
      </c>
    </row>
    <row r="292" spans="1:22" ht="99.75" x14ac:dyDescent="0.2">
      <c r="A292" s="4" t="str">
        <f>Questions!$A292</f>
        <v>DRPV-13</v>
      </c>
      <c r="B292" s="4" t="str">
        <f t="shared" si="63"/>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 t="shared" si="64"/>
        <v>10</v>
      </c>
      <c r="L292" s="108">
        <f>IF($E292="Not Scored", "N/A",IF(AND($D292='Auto Responses'!$J$27,$H292=""),"N/A",IF(AND($D292='Auto Responses'!$J$27,$H292='Auto Responses'!$J$7),1,IF(AND($D292='Auto Responses'!$J$27,$H292='Auto Responses'!$J$8),0,IF(OR($F292=$G292,$H292='Auto Responses'!$J$7),1,0)))))</f>
        <v>0</v>
      </c>
      <c r="M292" s="4" t="str">
        <f>VLOOKUP($A292,'Privacy Analyst Evaluation'!$A$46:$K$120,10,0)&amp;""</f>
        <v/>
      </c>
      <c r="N292" s="4">
        <f t="shared" si="65"/>
        <v>0</v>
      </c>
      <c r="O292" s="108" t="str">
        <f t="shared" si="69"/>
        <v>N/A</v>
      </c>
      <c r="P292" s="108" t="str">
        <f t="shared" si="66"/>
        <v>N/A</v>
      </c>
      <c r="Q292" s="108">
        <f t="shared" si="59"/>
        <v>0</v>
      </c>
      <c r="R292" s="108">
        <f t="shared" si="67"/>
        <v>0</v>
      </c>
      <c r="S292" s="108">
        <f t="shared" si="60"/>
        <v>0</v>
      </c>
      <c r="T292" s="108">
        <f t="shared" si="61"/>
        <v>0</v>
      </c>
      <c r="U292" s="108">
        <f t="shared" si="68"/>
        <v>70</v>
      </c>
      <c r="V292" s="108">
        <f t="shared" si="62"/>
        <v>0</v>
      </c>
    </row>
    <row r="293" spans="1:22" ht="57" x14ac:dyDescent="0.2">
      <c r="A293" s="4" t="str">
        <f>Questions!$A293</f>
        <v>DRPV-14</v>
      </c>
      <c r="B293" s="4" t="str">
        <f t="shared" si="63"/>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 t="shared" si="64"/>
        <v>10</v>
      </c>
      <c r="L293" s="108">
        <f>IF($E293="Not Scored", "N/A",IF(AND($D293='Auto Responses'!$J$27,$H293=""),"N/A",IF(AND($D293='Auto Responses'!$J$27,$H293='Auto Responses'!$J$7),1,IF(AND($D293='Auto Responses'!$J$27,$H293='Auto Responses'!$J$8),0,IF(OR($F293=$G293,$H293='Auto Responses'!$J$7),1,0)))))</f>
        <v>0</v>
      </c>
      <c r="M293" s="4" t="str">
        <f>VLOOKUP($A293,'Privacy Analyst Evaluation'!$A$46:$K$120,10,0)&amp;""</f>
        <v/>
      </c>
      <c r="N293" s="4">
        <f t="shared" si="65"/>
        <v>0</v>
      </c>
      <c r="O293" s="108" t="str">
        <f t="shared" si="69"/>
        <v>N/A</v>
      </c>
      <c r="P293" s="108" t="str">
        <f t="shared" si="66"/>
        <v>N/A</v>
      </c>
      <c r="Q293" s="108">
        <f t="shared" si="59"/>
        <v>0</v>
      </c>
      <c r="R293" s="108">
        <f t="shared" si="67"/>
        <v>0</v>
      </c>
      <c r="S293" s="108">
        <f t="shared" si="60"/>
        <v>0</v>
      </c>
      <c r="T293" s="108">
        <f t="shared" si="61"/>
        <v>0</v>
      </c>
      <c r="U293" s="108">
        <f t="shared" si="68"/>
        <v>70</v>
      </c>
      <c r="V293" s="108">
        <f t="shared" si="62"/>
        <v>0</v>
      </c>
    </row>
    <row r="294" spans="1:22" ht="57" x14ac:dyDescent="0.2">
      <c r="A294" s="4" t="str">
        <f>Questions!$A294</f>
        <v>DRPV-15</v>
      </c>
      <c r="B294" s="4" t="str">
        <f t="shared" si="63"/>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 t="shared" si="64"/>
        <v>10</v>
      </c>
      <c r="L294" s="108">
        <f>IF($E294="Not Scored", "N/A",IF(AND($D294='Auto Responses'!$J$27,$H294=""),"N/A",IF(AND($D294='Auto Responses'!$J$27,$H294='Auto Responses'!$J$7),1,IF(AND($D294='Auto Responses'!$J$27,$H294='Auto Responses'!$J$8),0,IF(OR($F294=$G294,$H294='Auto Responses'!$J$7),1,0)))))</f>
        <v>0</v>
      </c>
      <c r="M294" s="4" t="str">
        <f>VLOOKUP($A294,'Privacy Analyst Evaluation'!$A$46:$K$120,10,0)&amp;""</f>
        <v/>
      </c>
      <c r="N294" s="4">
        <f t="shared" si="65"/>
        <v>0</v>
      </c>
      <c r="O294" s="108" t="str">
        <f t="shared" si="58"/>
        <v>N/A</v>
      </c>
      <c r="P294" s="108" t="str">
        <f t="shared" si="66"/>
        <v>N/A</v>
      </c>
      <c r="Q294" s="108">
        <f t="shared" si="59"/>
        <v>0</v>
      </c>
      <c r="R294" s="108">
        <f t="shared" si="67"/>
        <v>0</v>
      </c>
      <c r="S294" s="108">
        <f t="shared" si="60"/>
        <v>0</v>
      </c>
      <c r="T294" s="108">
        <f t="shared" si="61"/>
        <v>0</v>
      </c>
      <c r="U294" s="108">
        <f t="shared" si="68"/>
        <v>70</v>
      </c>
      <c r="V294" s="108">
        <f t="shared" si="62"/>
        <v>0</v>
      </c>
    </row>
    <row r="295" spans="1:22" ht="57" x14ac:dyDescent="0.2">
      <c r="A295" s="4" t="str">
        <f>Questions!$A295</f>
        <v>DPAI-01</v>
      </c>
      <c r="B295" s="4" t="str">
        <f t="shared" si="63"/>
        <v>DPAI</v>
      </c>
      <c r="C295" s="4" t="str">
        <f>VLOOKUP($A295,Questions!$A$3:$L$333,2,0)&amp;""</f>
        <v>Does your service use AI for the processing of institutional data?</v>
      </c>
      <c r="D295" s="4" t="str">
        <f>VLOOKUP($A295,Questions!$A$3:$L$333,11,0)&amp;""</f>
        <v>Neutral until evaluated</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 t="shared" si="64"/>
        <v>10</v>
      </c>
      <c r="L295" s="108" t="str">
        <f>IF($E295="Not Scored", "N/A",IF(AND($D295='Auto Responses'!$J$27,$H295=""),"N/A",IF(AND($D295='Auto Responses'!$J$27,$H295='Auto Responses'!$J$7),1,IF(AND($D295='Auto Responses'!$J$27,$H295='Auto Responses'!$J$8),0,IF(OR($F295=$G295,$H295='Auto Responses'!$J$7),1,0)))))</f>
        <v>N/A</v>
      </c>
      <c r="M295" s="4" t="str">
        <f>VLOOKUP($A295,'Privacy Analyst Evaluation'!$A$46:$K$120,10,0)&amp;""</f>
        <v/>
      </c>
      <c r="N295" s="4">
        <f t="shared" si="65"/>
        <v>0</v>
      </c>
      <c r="O295" s="108" t="str">
        <f t="shared" si="58"/>
        <v>N/A</v>
      </c>
      <c r="P295" s="108" t="str">
        <f t="shared" si="66"/>
        <v>N/A</v>
      </c>
      <c r="Q295" s="108">
        <f t="shared" si="59"/>
        <v>0</v>
      </c>
      <c r="R295" s="108">
        <f t="shared" si="67"/>
        <v>0</v>
      </c>
      <c r="S295" s="108">
        <f t="shared" si="60"/>
        <v>0</v>
      </c>
      <c r="T295" s="108">
        <f t="shared" si="61"/>
        <v>0</v>
      </c>
      <c r="U295" s="108">
        <f t="shared" si="68"/>
        <v>70</v>
      </c>
      <c r="V295" s="108">
        <f t="shared" si="62"/>
        <v>0</v>
      </c>
    </row>
    <row r="296" spans="1:22" ht="57" x14ac:dyDescent="0.2">
      <c r="A296" s="4" t="str">
        <f>Questions!$A296</f>
        <v>DPAI-02</v>
      </c>
      <c r="B296" s="4" t="str">
        <f t="shared" si="63"/>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 t="shared" si="64"/>
        <v>20</v>
      </c>
      <c r="L296" s="108">
        <f>IF($E296="Not Scored", "N/A",IF(AND($D296='Auto Responses'!$J$27,$H296=""),"N/A",IF(AND($D296='Auto Responses'!$J$27,$H296='Auto Responses'!$J$7),1,IF(AND($D296='Auto Responses'!$J$27,$H296='Auto Responses'!$J$8),0,IF(OR($F296=$G296,$H296='Auto Responses'!$J$7),1,0)))))</f>
        <v>0</v>
      </c>
      <c r="M296" s="4" t="str">
        <f>VLOOKUP($A296,'Privacy Analyst Evaluation'!$A$46:$K$120,10,0)&amp;""</f>
        <v/>
      </c>
      <c r="N296" s="4">
        <f t="shared" si="65"/>
        <v>1</v>
      </c>
      <c r="O296" s="108" t="str">
        <f>IF(OR($E296="Not Scored",$F296="N/A",$F$24="No"),"N/A",IF($J296="",$K296,IF($J296="Minor Importance",5,IF($J296="Standard Importance",10,IF($J296="Critical Importance",20,0)))))</f>
        <v>N/A</v>
      </c>
      <c r="P296" s="108" t="str">
        <f t="shared" si="66"/>
        <v>N/A</v>
      </c>
      <c r="Q296" s="108">
        <f t="shared" si="59"/>
        <v>0</v>
      </c>
      <c r="R296" s="108">
        <f t="shared" si="67"/>
        <v>0</v>
      </c>
      <c r="S296" s="108">
        <f t="shared" si="60"/>
        <v>0</v>
      </c>
      <c r="T296" s="108">
        <f t="shared" si="61"/>
        <v>1</v>
      </c>
      <c r="U296" s="108">
        <f t="shared" si="68"/>
        <v>71</v>
      </c>
      <c r="V296" s="108">
        <f t="shared" si="62"/>
        <v>71</v>
      </c>
    </row>
    <row r="297" spans="1:22" ht="57" x14ac:dyDescent="0.2">
      <c r="A297" s="4" t="str">
        <f>Questions!$A297</f>
        <v>DPAI-03</v>
      </c>
      <c r="B297" s="4" t="str">
        <f t="shared" si="63"/>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 t="shared" si="64"/>
        <v>20</v>
      </c>
      <c r="L297" s="108">
        <f>IF($E297="Not Scored", "N/A",IF(AND($D297='Auto Responses'!$J$27,$H297=""),"N/A",IF(AND($D297='Auto Responses'!$J$27,$H297='Auto Responses'!$J$7),1,IF(AND($D297='Auto Responses'!$J$27,$H297='Auto Responses'!$J$8),0,IF(OR($F297=$G297,$H297='Auto Responses'!$J$7),1,0)))))</f>
        <v>0</v>
      </c>
      <c r="M297" s="4" t="str">
        <f>VLOOKUP($A297,'Privacy Analyst Evaluation'!$A$46:$K$120,10,0)&amp;""</f>
        <v/>
      </c>
      <c r="N297" s="4">
        <f t="shared" si="65"/>
        <v>1</v>
      </c>
      <c r="O297" s="108" t="str">
        <f>IF(OR($E297="Not Scored",$F297="N/A",$F$24="No"),"N/A",IF($J297="",$K297,IF($J297="Minor Importance",5,IF($J297="Standard Importance",10,IF($J297="Critical Importance",20,0)))))</f>
        <v>N/A</v>
      </c>
      <c r="P297" s="108" t="str">
        <f t="shared" si="66"/>
        <v>N/A</v>
      </c>
      <c r="Q297" s="108">
        <f t="shared" si="59"/>
        <v>0</v>
      </c>
      <c r="R297" s="108">
        <f t="shared" si="67"/>
        <v>0</v>
      </c>
      <c r="S297" s="108">
        <f t="shared" si="60"/>
        <v>0</v>
      </c>
      <c r="T297" s="108">
        <f t="shared" si="61"/>
        <v>1</v>
      </c>
      <c r="U297" s="108">
        <f t="shared" si="68"/>
        <v>72</v>
      </c>
      <c r="V297" s="108">
        <f t="shared" si="62"/>
        <v>72</v>
      </c>
    </row>
    <row r="298" spans="1:22" ht="57" x14ac:dyDescent="0.2">
      <c r="A298" s="4" t="str">
        <f>Questions!$A298</f>
        <v>DPAI-04</v>
      </c>
      <c r="B298" s="4" t="str">
        <f t="shared" si="63"/>
        <v>DPAI</v>
      </c>
      <c r="C298" s="4" t="str">
        <f>VLOOKUP($A298,Questions!$A$3:$L$333,2,0)&amp;""</f>
        <v>Will institutional data be processed through a third party or subprocessor that also uses AI?</v>
      </c>
      <c r="D298" s="4" t="str">
        <f>VLOOKUP($A298,Questions!$A$3:$L$333,11,0)&amp;""</f>
        <v>Neutral until evaluated</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 t="shared" si="64"/>
        <v>10</v>
      </c>
      <c r="L298" s="108" t="str">
        <f>IF($E298="Not Scored", "N/A",IF(AND($D298='Auto Responses'!$J$27,$H298=""),"N/A",IF(AND($D298='Auto Responses'!$J$27,$H298='Auto Responses'!$J$7),1,IF(AND($D298='Auto Responses'!$J$27,$H298='Auto Responses'!$J$8),0,IF(OR($F298=$G298,$H298='Auto Responses'!$J$7),1,0)))))</f>
        <v>N/A</v>
      </c>
      <c r="M298" s="4" t="str">
        <f>VLOOKUP($A298,'Privacy Analyst Evaluation'!$A$46:$K$120,10,0)&amp;""</f>
        <v/>
      </c>
      <c r="N298" s="4">
        <f t="shared" si="65"/>
        <v>0</v>
      </c>
      <c r="O298" s="108" t="str">
        <f t="shared" si="58"/>
        <v>N/A</v>
      </c>
      <c r="P298" s="108" t="str">
        <f t="shared" si="66"/>
        <v>N/A</v>
      </c>
      <c r="Q298" s="108">
        <f t="shared" si="59"/>
        <v>0</v>
      </c>
      <c r="R298" s="108">
        <f t="shared" si="67"/>
        <v>0</v>
      </c>
      <c r="S298" s="108">
        <f t="shared" si="60"/>
        <v>0</v>
      </c>
      <c r="T298" s="108">
        <f t="shared" si="61"/>
        <v>0</v>
      </c>
      <c r="U298" s="108">
        <f t="shared" si="68"/>
        <v>72</v>
      </c>
      <c r="V298" s="108">
        <f t="shared" si="62"/>
        <v>0</v>
      </c>
    </row>
    <row r="299" spans="1:22" ht="57" x14ac:dyDescent="0.2">
      <c r="A299" s="4" t="str">
        <f>Questions!$A299</f>
        <v>DPAI-05</v>
      </c>
      <c r="B299" s="4" t="str">
        <f t="shared" si="63"/>
        <v>DPAI</v>
      </c>
      <c r="C299" s="4" t="str">
        <f>VLOOKUP($A299,Questions!$A$3:$L$333,2,0)&amp;""</f>
        <v>Is AI processing limited to fully licensed commercial enterprise AI services?</v>
      </c>
      <c r="D299" s="4" t="str">
        <f>VLOOKUP($A299,Questions!$A$3:$L$333,11,0)&amp;""</f>
        <v>Neutral until evaluated</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 t="shared" si="64"/>
        <v>5</v>
      </c>
      <c r="L299" s="108" t="str">
        <f>IF($E299="Not Scored", "N/A",IF(AND($D299='Auto Responses'!$J$27,$H299=""),"N/A",IF(AND($D299='Auto Responses'!$J$27,$H299='Auto Responses'!$J$7),1,IF(AND($D299='Auto Responses'!$J$27,$H299='Auto Responses'!$J$8),0,IF(OR($F299=$G299,$H299='Auto Responses'!$J$7),1,0)))))</f>
        <v>N/A</v>
      </c>
      <c r="M299" s="4" t="str">
        <f>VLOOKUP($A299,'Privacy Analyst Evaluation'!$A$46:$K$120,10,0)&amp;""</f>
        <v/>
      </c>
      <c r="N299" s="4">
        <f t="shared" si="65"/>
        <v>0</v>
      </c>
      <c r="O299" s="108" t="str">
        <f>IF(OR($E299="Not Scored",$F299="N/A",$F$24="No"),"N/A",IF($J299="",$K299,IF($J299="Minor Importance",5,IF($J299="Standard Importance",10,IF($J299="Critical Importance",20,0)))))</f>
        <v>N/A</v>
      </c>
      <c r="P299" s="108" t="str">
        <f t="shared" si="66"/>
        <v>N/A</v>
      </c>
      <c r="Q299" s="108">
        <f t="shared" si="59"/>
        <v>0</v>
      </c>
      <c r="R299" s="108">
        <f t="shared" si="67"/>
        <v>0</v>
      </c>
      <c r="S299" s="108">
        <f t="shared" si="60"/>
        <v>0</v>
      </c>
      <c r="T299" s="108">
        <f t="shared" si="61"/>
        <v>0</v>
      </c>
      <c r="U299" s="108">
        <f t="shared" si="68"/>
        <v>72</v>
      </c>
      <c r="V299" s="108">
        <f t="shared" si="62"/>
        <v>0</v>
      </c>
    </row>
    <row r="300" spans="1:22" ht="57" x14ac:dyDescent="0.2">
      <c r="A300" s="4" t="str">
        <f>Questions!$A300</f>
        <v>DPAI-06</v>
      </c>
      <c r="B300" s="4" t="str">
        <f t="shared" si="63"/>
        <v>DPAI</v>
      </c>
      <c r="C300" s="4" t="str">
        <f>VLOOKUP($A300,Questions!$A$3:$L$333,2,0)&amp;""</f>
        <v>Will institutional data be used or processed by any shared AI services?</v>
      </c>
      <c r="D300" s="4" t="str">
        <f>VLOOKUP($A300,Questions!$A$3:$L$333,11,0)&amp;""</f>
        <v>Neutral until evaluated</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 t="shared" si="64"/>
        <v>5</v>
      </c>
      <c r="L300" s="108" t="str">
        <f>IF($E300="Not Scored", "N/A",IF(AND($D300='Auto Responses'!$J$27,$H300=""),"N/A",IF(AND($D300='Auto Responses'!$J$27,$H300='Auto Responses'!$J$7),1,IF(AND($D300='Auto Responses'!$J$27,$H300='Auto Responses'!$J$8),0,IF(OR($F300=$G300,$H300='Auto Responses'!$J$7),1,0)))))</f>
        <v>N/A</v>
      </c>
      <c r="M300" s="4" t="str">
        <f>VLOOKUP($A300,'Privacy Analyst Evaluation'!$A$46:$K$120,10,0)&amp;""</f>
        <v/>
      </c>
      <c r="N300" s="4">
        <f t="shared" si="65"/>
        <v>0</v>
      </c>
      <c r="O300" s="108" t="str">
        <f t="shared" si="58"/>
        <v>N/A</v>
      </c>
      <c r="P300" s="108" t="str">
        <f t="shared" si="66"/>
        <v>N/A</v>
      </c>
      <c r="Q300" s="108">
        <f t="shared" si="59"/>
        <v>0</v>
      </c>
      <c r="R300" s="108">
        <f t="shared" si="67"/>
        <v>0</v>
      </c>
      <c r="S300" s="108">
        <f t="shared" si="60"/>
        <v>0</v>
      </c>
      <c r="T300" s="108">
        <f t="shared" si="61"/>
        <v>0</v>
      </c>
      <c r="U300" s="108">
        <f t="shared" si="68"/>
        <v>72</v>
      </c>
      <c r="V300" s="108">
        <f t="shared" si="62"/>
        <v>0</v>
      </c>
    </row>
    <row r="301" spans="1:22" ht="57" x14ac:dyDescent="0.2">
      <c r="A301" s="4" t="str">
        <f>Questions!$A301</f>
        <v>DPAI-07</v>
      </c>
      <c r="B301" s="4" t="str">
        <f t="shared" si="63"/>
        <v>DPAI</v>
      </c>
      <c r="C301" s="4" t="str">
        <f>VLOOKUP($A301,Questions!$A$3:$L$333,2,0)&amp;""</f>
        <v>Do you have safeguards in place to protect institutional data and data privacy from unintended AI queries or processing?</v>
      </c>
      <c r="D301" s="4" t="str">
        <f>VLOOKUP($A301,Questions!$A$3:$L$333,11,0)&amp;""</f>
        <v>Neutral until evaluated</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 t="shared" si="64"/>
        <v>5</v>
      </c>
      <c r="L301" s="108" t="str">
        <f>IF($E301="Not Scored", "N/A",IF(AND($D301='Auto Responses'!$J$27,$H301=""),"N/A",IF(AND($D301='Auto Responses'!$J$27,$H301='Auto Responses'!$J$7),1,IF(AND($D301='Auto Responses'!$J$27,$H301='Auto Responses'!$J$8),0,IF(OR($F301=$G301,$H301='Auto Responses'!$J$7),1,0)))))</f>
        <v>N/A</v>
      </c>
      <c r="M301" s="4" t="str">
        <f>VLOOKUP($A301,'Privacy Analyst Evaluation'!$A$46:$K$120,10,0)&amp;""</f>
        <v/>
      </c>
      <c r="N301" s="4">
        <f t="shared" si="65"/>
        <v>0</v>
      </c>
      <c r="O301" s="108" t="str">
        <f t="shared" si="58"/>
        <v>N/A</v>
      </c>
      <c r="P301" s="108" t="str">
        <f t="shared" si="66"/>
        <v>N/A</v>
      </c>
      <c r="Q301" s="108">
        <f t="shared" si="59"/>
        <v>0</v>
      </c>
      <c r="R301" s="108">
        <f t="shared" si="67"/>
        <v>0</v>
      </c>
      <c r="S301" s="108">
        <f t="shared" si="60"/>
        <v>0</v>
      </c>
      <c r="T301" s="108">
        <f t="shared" si="61"/>
        <v>0</v>
      </c>
      <c r="U301" s="108">
        <f t="shared" si="68"/>
        <v>72</v>
      </c>
      <c r="V301" s="108">
        <f t="shared" si="62"/>
        <v>0</v>
      </c>
    </row>
    <row r="302" spans="1:22" ht="57" x14ac:dyDescent="0.2">
      <c r="A302" s="4" t="str">
        <f>Questions!$A302</f>
        <v>DPAI-08</v>
      </c>
      <c r="B302" s="4" t="str">
        <f t="shared" si="63"/>
        <v>DPAI</v>
      </c>
      <c r="C302" s="4" t="str">
        <f>VLOOKUP($A302,Questions!$A$3:$L$333,2,0)&amp;""</f>
        <v>Do you provide choice to the user to opt out of AI use?</v>
      </c>
      <c r="D302" s="4" t="str">
        <f>VLOOKUP($A302,Questions!$A$3:$L$333,11,0)&amp;""</f>
        <v>Neutral until evaluated</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 t="shared" si="64"/>
        <v>5</v>
      </c>
      <c r="L302" s="108" t="str">
        <f>IF($E302="Not Scored", "N/A",IF(AND($D302='Auto Responses'!$J$27,$H302=""),"N/A",IF(AND($D302='Auto Responses'!$J$27,$H302='Auto Responses'!$J$7),1,IF(AND($D302='Auto Responses'!$J$27,$H302='Auto Responses'!$J$8),0,IF(OR($F302=$G302,$H302='Auto Responses'!$J$7),1,0)))))</f>
        <v>N/A</v>
      </c>
      <c r="M302" s="4" t="str">
        <f>VLOOKUP($A302,'Privacy Analyst Evaluation'!$A$46:$K$120,10,0)&amp;""</f>
        <v/>
      </c>
      <c r="N302" s="4">
        <f t="shared" si="65"/>
        <v>0</v>
      </c>
      <c r="O302" s="108" t="str">
        <f>IF(OR($E302="Not Scored",$F302="N/A",$F$24="No"),"N/A",IF($J302="",$K302,IF($J302="Minor Importance",5,IF($J302="Standard Importance",10,IF($J302="Critical Importance",20,0)))))</f>
        <v>N/A</v>
      </c>
      <c r="P302" s="108" t="str">
        <f t="shared" si="66"/>
        <v>N/A</v>
      </c>
      <c r="Q302" s="108">
        <f t="shared" si="59"/>
        <v>0</v>
      </c>
      <c r="R302" s="108">
        <f t="shared" si="67"/>
        <v>0</v>
      </c>
      <c r="S302" s="108">
        <f t="shared" si="60"/>
        <v>0</v>
      </c>
      <c r="T302" s="108">
        <f t="shared" si="61"/>
        <v>0</v>
      </c>
      <c r="U302" s="108">
        <f t="shared" si="68"/>
        <v>72</v>
      </c>
      <c r="V302" s="108">
        <f t="shared" si="62"/>
        <v>0</v>
      </c>
    </row>
    <row r="303" spans="1:22" ht="57" x14ac:dyDescent="0.2">
      <c r="A303" s="4" t="str">
        <f>Questions!$A303</f>
        <v>AIQU-01</v>
      </c>
      <c r="B303" s="4" t="str">
        <f t="shared" si="63"/>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Evaluation'!$A$56:$K$346,3,0)&amp;""</f>
        <v/>
      </c>
      <c r="G303" s="4" t="str">
        <f>VLOOKUP($A303,'Institution Evaluation'!$A$56:$K$346,7,0)&amp;""</f>
        <v>Not scored</v>
      </c>
      <c r="H303" s="4" t="str">
        <f>VLOOKUP($A303,'Institution Evaluation'!$A$56:$K$346,8,0)&amp;""</f>
        <v/>
      </c>
      <c r="I303" s="4" t="str">
        <f>VLOOKUP($A303,'Institution Evaluation'!$A$56:$K$346,9,0)&amp;""</f>
        <v/>
      </c>
      <c r="J303" s="4" t="str">
        <f>VLOOKUP($A303,'Institution Evaluation'!$A$56:$K$346,10,0)&amp;""</f>
        <v/>
      </c>
      <c r="K303" s="4">
        <f t="shared" si="64"/>
        <v>10</v>
      </c>
      <c r="L303" s="108" t="str">
        <f>IF($E303="Not Scored", "N/A",IF(AND($D303='Auto Responses'!$J$27,$H303=""),"N/A",IF(AND($D303='Auto Responses'!$J$27,$H303='Auto Responses'!$J$7),1,IF(AND($D303='Auto Responses'!$J$27,$H303='Auto Responses'!$J$8),0,IF(OR($F303=$G303,$H303='Auto Responses'!$J$7),1,0)))))</f>
        <v>N/A</v>
      </c>
      <c r="M303" s="4" t="str">
        <f>VLOOKUP($A303,'Institution Evaluation'!$A$56:$K$346,10,0)&amp;""</f>
        <v/>
      </c>
      <c r="N303" s="4">
        <f t="shared" si="65"/>
        <v>0</v>
      </c>
      <c r="O303" s="108" t="str">
        <f t="shared" ref="O303:O319" si="70">IF(OR($F$20="No",$E303="Not Scored"),"N/A",IF($J303="",$K303,IF($J303="Minor Importance",5,IF($J303="Standard Importance",10,IF($J303="Critical Importance",20,0)))))</f>
        <v>N/A</v>
      </c>
      <c r="P303" s="108" t="str">
        <f t="shared" si="66"/>
        <v>N/A</v>
      </c>
      <c r="Q303" s="108">
        <f t="shared" si="59"/>
        <v>0</v>
      </c>
      <c r="R303" s="108">
        <f t="shared" si="67"/>
        <v>0</v>
      </c>
      <c r="S303" s="108">
        <f t="shared" si="60"/>
        <v>0</v>
      </c>
      <c r="T303" s="108">
        <f t="shared" si="61"/>
        <v>0</v>
      </c>
      <c r="U303" s="108">
        <f t="shared" si="68"/>
        <v>72</v>
      </c>
      <c r="V303" s="108">
        <f t="shared" si="62"/>
        <v>0</v>
      </c>
    </row>
    <row r="304" spans="1:22" ht="57" x14ac:dyDescent="0.2">
      <c r="A304" s="4" t="str">
        <f>Questions!$A304</f>
        <v>AIQU-02</v>
      </c>
      <c r="B304" s="4" t="str">
        <f t="shared" si="63"/>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Evaluation'!$A$56:$K$346,3,0)&amp;""</f>
        <v/>
      </c>
      <c r="G304" s="4" t="str">
        <f>VLOOKUP($A304,'Institution Evaluation'!$A$56:$K$346,7,0)&amp;""</f>
        <v>Not scored</v>
      </c>
      <c r="H304" s="4" t="str">
        <f>VLOOKUP($A304,'Institution Evaluation'!$A$56:$K$346,8,0)&amp;""</f>
        <v/>
      </c>
      <c r="I304" s="4" t="str">
        <f>VLOOKUP($A304,'Institution Evaluation'!$A$56:$K$346,9,0)&amp;""</f>
        <v/>
      </c>
      <c r="J304" s="4" t="str">
        <f>VLOOKUP($A304,'Institution Evaluation'!$A$56:$K$346,10,0)&amp;""</f>
        <v/>
      </c>
      <c r="K304" s="4">
        <f t="shared" si="64"/>
        <v>10</v>
      </c>
      <c r="L304" s="108" t="str">
        <f>IF($E304="Not Scored", "N/A",IF(AND($D304='Auto Responses'!$J$27,$H304=""),"N/A",IF(AND($D304='Auto Responses'!$J$27,$H304='Auto Responses'!$J$7),1,IF(AND($D304='Auto Responses'!$J$27,$H304='Auto Responses'!$J$8),0,IF(OR($F304=$G304,$H304='Auto Responses'!$J$7),1,0)))))</f>
        <v>N/A</v>
      </c>
      <c r="M304" s="4" t="str">
        <f>VLOOKUP($A304,'Institution Evaluation'!$A$56:$K$346,10,0)&amp;""</f>
        <v/>
      </c>
      <c r="N304" s="4">
        <f t="shared" si="65"/>
        <v>0</v>
      </c>
      <c r="O304" s="108" t="str">
        <f t="shared" si="70"/>
        <v>N/A</v>
      </c>
      <c r="P304" s="108" t="str">
        <f t="shared" si="66"/>
        <v>N/A</v>
      </c>
      <c r="Q304" s="108">
        <f t="shared" si="59"/>
        <v>0</v>
      </c>
      <c r="R304" s="108">
        <f t="shared" si="67"/>
        <v>0</v>
      </c>
      <c r="S304" s="108">
        <f t="shared" si="60"/>
        <v>0</v>
      </c>
      <c r="T304" s="108">
        <f t="shared" si="61"/>
        <v>0</v>
      </c>
      <c r="U304" s="108">
        <f t="shared" si="68"/>
        <v>72</v>
      </c>
      <c r="V304" s="108">
        <f t="shared" si="62"/>
        <v>0</v>
      </c>
    </row>
    <row r="305" spans="1:22" ht="57" x14ac:dyDescent="0.2">
      <c r="A305" s="4" t="str">
        <f>Questions!$A305</f>
        <v>AIGN-01</v>
      </c>
      <c r="B305" s="4" t="str">
        <f t="shared" si="63"/>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Evaluation'!$A$56:$K$346,3,0)&amp;""</f>
        <v/>
      </c>
      <c r="G305" s="4" t="str">
        <f>VLOOKUP($A305,'Institution Evaluation'!$A$56:$K$346,7,0)&amp;""</f>
        <v>Yes</v>
      </c>
      <c r="H305" s="4" t="str">
        <f>VLOOKUP($A305,'Institution Evaluation'!$A$56:$K$346,8,0)&amp;""</f>
        <v/>
      </c>
      <c r="I305" s="4" t="str">
        <f>VLOOKUP($A305,'Institution Evaluation'!$A$56:$K$346,9,0)&amp;""</f>
        <v>Critical Importance</v>
      </c>
      <c r="J305" s="4" t="str">
        <f>VLOOKUP($A305,'Institution Evaluation'!$A$56:$K$346,10,0)&amp;""</f>
        <v/>
      </c>
      <c r="K305" s="4">
        <f t="shared" si="64"/>
        <v>20</v>
      </c>
      <c r="L305" s="108">
        <f>IF($E305="Not Scored", "N/A",IF(AND($D305='Auto Responses'!$J$27,$H305=""),"N/A",IF(AND($D305='Auto Responses'!$J$27,$H305='Auto Responses'!$J$7),1,IF(AND($D305='Auto Responses'!$J$27,$H305='Auto Responses'!$J$8),0,IF(OR($F305=$G305,$H305='Auto Responses'!$J$7),1,0)))))</f>
        <v>0</v>
      </c>
      <c r="M305" s="4" t="str">
        <f>VLOOKUP($A305,'Institution Evaluation'!$A$56:$K$346,10,0)&amp;""</f>
        <v/>
      </c>
      <c r="N305" s="4">
        <f t="shared" si="65"/>
        <v>1</v>
      </c>
      <c r="O305" s="108" t="str">
        <f t="shared" si="70"/>
        <v>N/A</v>
      </c>
      <c r="P305" s="108" t="str">
        <f t="shared" si="66"/>
        <v>N/A</v>
      </c>
      <c r="Q305" s="108">
        <f t="shared" si="59"/>
        <v>0</v>
      </c>
      <c r="R305" s="108">
        <f t="shared" si="67"/>
        <v>0</v>
      </c>
      <c r="S305" s="108">
        <f t="shared" si="60"/>
        <v>0</v>
      </c>
      <c r="T305" s="108">
        <f t="shared" si="61"/>
        <v>1</v>
      </c>
      <c r="U305" s="108">
        <f t="shared" si="68"/>
        <v>73</v>
      </c>
      <c r="V305" s="108">
        <f t="shared" si="62"/>
        <v>73</v>
      </c>
    </row>
    <row r="306" spans="1:22" ht="57" x14ac:dyDescent="0.2">
      <c r="A306" s="4" t="str">
        <f>Questions!$A306</f>
        <v>AIGN-02</v>
      </c>
      <c r="B306" s="4" t="str">
        <f t="shared" si="63"/>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Evaluation'!$A$56:$K$346,3,0)&amp;""</f>
        <v/>
      </c>
      <c r="G306" s="4" t="str">
        <f>VLOOKUP($A306,'Institution Evaluation'!$A$56:$K$346,7,0)&amp;""</f>
        <v>Yes</v>
      </c>
      <c r="H306" s="4" t="str">
        <f>VLOOKUP($A306,'Institution Evaluation'!$A$56:$K$346,8,0)&amp;""</f>
        <v/>
      </c>
      <c r="I306" s="4" t="str">
        <f>VLOOKUP($A306,'Institution Evaluation'!$A$56:$K$346,9,0)&amp;""</f>
        <v>Critical Importance</v>
      </c>
      <c r="J306" s="4" t="str">
        <f>VLOOKUP($A306,'Institution Evaluation'!$A$56:$K$346,10,0)&amp;""</f>
        <v/>
      </c>
      <c r="K306" s="4">
        <f t="shared" si="64"/>
        <v>20</v>
      </c>
      <c r="L306" s="108">
        <f>IF($E306="Not Scored", "N/A",IF(AND($D306='Auto Responses'!$J$27,$H306=""),"N/A",IF(AND($D306='Auto Responses'!$J$27,$H306='Auto Responses'!$J$7),1,IF(AND($D306='Auto Responses'!$J$27,$H306='Auto Responses'!$J$8),0,IF(OR($F306=$G306,$H306='Auto Responses'!$J$7),1,0)))))</f>
        <v>0</v>
      </c>
      <c r="M306" s="4" t="str">
        <f>VLOOKUP($A306,'Institution Evaluation'!$A$56:$K$346,10,0)&amp;""</f>
        <v/>
      </c>
      <c r="N306" s="4">
        <f t="shared" si="65"/>
        <v>1</v>
      </c>
      <c r="O306" s="108" t="str">
        <f t="shared" si="70"/>
        <v>N/A</v>
      </c>
      <c r="P306" s="108" t="str">
        <f t="shared" si="66"/>
        <v>N/A</v>
      </c>
      <c r="Q306" s="108">
        <f t="shared" si="59"/>
        <v>0</v>
      </c>
      <c r="R306" s="108">
        <f t="shared" si="67"/>
        <v>0</v>
      </c>
      <c r="S306" s="108">
        <f t="shared" si="60"/>
        <v>0</v>
      </c>
      <c r="T306" s="108">
        <f t="shared" si="61"/>
        <v>1</v>
      </c>
      <c r="U306" s="108">
        <f t="shared" si="68"/>
        <v>74</v>
      </c>
      <c r="V306" s="108">
        <f t="shared" si="62"/>
        <v>74</v>
      </c>
    </row>
    <row r="307" spans="1:22" ht="57" x14ac:dyDescent="0.2">
      <c r="A307" s="4" t="str">
        <f>Questions!$A307</f>
        <v>AIGN-03</v>
      </c>
      <c r="B307" s="4" t="str">
        <f t="shared" si="63"/>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Evaluation'!$A$56:$K$346,3,0)&amp;""</f>
        <v/>
      </c>
      <c r="G307" s="4" t="str">
        <f>VLOOKUP($A307,'Institution Evaluation'!$A$56:$K$346,7,0)&amp;""</f>
        <v>Yes</v>
      </c>
      <c r="H307" s="4" t="str">
        <f>VLOOKUP($A307,'Institution Evaluation'!$A$56:$K$346,8,0)&amp;""</f>
        <v/>
      </c>
      <c r="I307" s="4" t="str">
        <f>VLOOKUP($A307,'Institution Evaluation'!$A$56:$K$346,9,0)&amp;""</f>
        <v>Critical Importance</v>
      </c>
      <c r="J307" s="4" t="str">
        <f>VLOOKUP($A307,'Institution Evaluation'!$A$56:$K$346,10,0)&amp;""</f>
        <v/>
      </c>
      <c r="K307" s="4">
        <f t="shared" si="64"/>
        <v>20</v>
      </c>
      <c r="L307" s="108">
        <f>IF($E307="Not Scored", "N/A",IF(AND($D307='Auto Responses'!$J$27,$H307=""),"N/A",IF(AND($D307='Auto Responses'!$J$27,$H307='Auto Responses'!$J$7),1,IF(AND($D307='Auto Responses'!$J$27,$H307='Auto Responses'!$J$8),0,IF(OR($F307=$G307,$H307='Auto Responses'!$J$7),1,0)))))</f>
        <v>0</v>
      </c>
      <c r="M307" s="4" t="str">
        <f>VLOOKUP($A307,'Institution Evaluation'!$A$56:$K$346,10,0)&amp;""</f>
        <v/>
      </c>
      <c r="N307" s="4">
        <f t="shared" si="65"/>
        <v>1</v>
      </c>
      <c r="O307" s="108" t="str">
        <f t="shared" si="70"/>
        <v>N/A</v>
      </c>
      <c r="P307" s="108" t="str">
        <f t="shared" si="66"/>
        <v>N/A</v>
      </c>
      <c r="Q307" s="108">
        <f t="shared" si="59"/>
        <v>0</v>
      </c>
      <c r="R307" s="108">
        <f t="shared" si="67"/>
        <v>0</v>
      </c>
      <c r="S307" s="108">
        <f t="shared" si="60"/>
        <v>0</v>
      </c>
      <c r="T307" s="108">
        <f t="shared" si="61"/>
        <v>1</v>
      </c>
      <c r="U307" s="108">
        <f t="shared" si="68"/>
        <v>75</v>
      </c>
      <c r="V307" s="108">
        <f t="shared" si="62"/>
        <v>75</v>
      </c>
    </row>
    <row r="308" spans="1:22" ht="57" x14ac:dyDescent="0.2">
      <c r="A308" s="4" t="str">
        <f>Questions!$A308</f>
        <v>AIGN-04</v>
      </c>
      <c r="B308" s="4" t="str">
        <f t="shared" si="63"/>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Evaluation'!$A$56:$K$346,3,0)&amp;""</f>
        <v/>
      </c>
      <c r="G308" s="4" t="str">
        <f>VLOOKUP($A308,'Institution Evaluation'!$A$56:$K$346,7,0)&amp;""</f>
        <v>Not scored</v>
      </c>
      <c r="H308" s="4" t="str">
        <f>VLOOKUP($A308,'Institution Evaluation'!$A$56:$K$346,8,0)&amp;""</f>
        <v/>
      </c>
      <c r="I308" s="4" t="str">
        <f>VLOOKUP($A308,'Institution Evaluation'!$A$56:$K$346,9,0)&amp;""</f>
        <v/>
      </c>
      <c r="J308" s="4" t="str">
        <f>VLOOKUP($A308,'Institution Evaluation'!$A$56:$K$346,10,0)&amp;""</f>
        <v/>
      </c>
      <c r="K308" s="4">
        <f t="shared" si="64"/>
        <v>10</v>
      </c>
      <c r="L308" s="108" t="str">
        <f>IF($E308="Not Scored", "N/A",IF(AND($D308='Auto Responses'!$J$27,$H308=""),"N/A",IF(AND($D308='Auto Responses'!$J$27,$H308='Auto Responses'!$J$7),1,IF(AND($D308='Auto Responses'!$J$27,$H308='Auto Responses'!$J$8),0,IF(OR($F308=$G308,$H308='Auto Responses'!$J$7),1,0)))))</f>
        <v>N/A</v>
      </c>
      <c r="M308" s="4" t="str">
        <f>VLOOKUP($A308,'Institution Evaluation'!$A$56:$K$346,10,0)&amp;""</f>
        <v/>
      </c>
      <c r="N308" s="4">
        <f t="shared" si="65"/>
        <v>0</v>
      </c>
      <c r="O308" s="108" t="str">
        <f t="shared" si="70"/>
        <v>N/A</v>
      </c>
      <c r="P308" s="108" t="str">
        <f t="shared" si="66"/>
        <v>N/A</v>
      </c>
      <c r="Q308" s="108">
        <f t="shared" si="59"/>
        <v>0</v>
      </c>
      <c r="R308" s="108">
        <f t="shared" si="67"/>
        <v>0</v>
      </c>
      <c r="S308" s="108">
        <f t="shared" si="60"/>
        <v>0</v>
      </c>
      <c r="T308" s="108">
        <f t="shared" si="61"/>
        <v>0</v>
      </c>
      <c r="U308" s="108">
        <f t="shared" si="68"/>
        <v>75</v>
      </c>
      <c r="V308" s="108">
        <f t="shared" si="62"/>
        <v>0</v>
      </c>
    </row>
    <row r="309" spans="1:22" ht="57" x14ac:dyDescent="0.2">
      <c r="A309" s="4" t="str">
        <f>Questions!$A309</f>
        <v>AIGN-05</v>
      </c>
      <c r="B309" s="4" t="str">
        <f t="shared" si="63"/>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Evaluation'!$A$56:$K$346,3,0)&amp;""</f>
        <v/>
      </c>
      <c r="G309" s="4" t="str">
        <f>VLOOKUP($A309,'Institution Evaluation'!$A$56:$K$346,7,0)&amp;""</f>
        <v>Yes</v>
      </c>
      <c r="H309" s="4" t="str">
        <f>VLOOKUP($A309,'Institution Evaluation'!$A$56:$K$346,8,0)&amp;""</f>
        <v/>
      </c>
      <c r="I309" s="4" t="str">
        <f>VLOOKUP($A309,'Institution Evaluation'!$A$56:$K$346,9,0)&amp;""</f>
        <v>Standard Importance</v>
      </c>
      <c r="J309" s="4" t="str">
        <f>VLOOKUP($A309,'Institution Evaluation'!$A$56:$K$346,10,0)&amp;""</f>
        <v/>
      </c>
      <c r="K309" s="4">
        <f t="shared" si="64"/>
        <v>10</v>
      </c>
      <c r="L309" s="108">
        <f>IF($E309="Not Scored", "N/A",IF(AND($D309='Auto Responses'!$J$27,$H309=""),"N/A",IF(AND($D309='Auto Responses'!$J$27,$H309='Auto Responses'!$J$7),1,IF(AND($D309='Auto Responses'!$J$27,$H309='Auto Responses'!$J$8),0,IF(OR($F309=$G309,$H309='Auto Responses'!$J$7),1,0)))))</f>
        <v>0</v>
      </c>
      <c r="M309" s="4" t="str">
        <f>VLOOKUP($A309,'Institution Evaluation'!$A$56:$K$346,10,0)&amp;""</f>
        <v/>
      </c>
      <c r="N309" s="4">
        <f t="shared" si="65"/>
        <v>0</v>
      </c>
      <c r="O309" s="108" t="str">
        <f t="shared" si="70"/>
        <v>N/A</v>
      </c>
      <c r="P309" s="108" t="str">
        <f t="shared" si="66"/>
        <v>N/A</v>
      </c>
      <c r="Q309" s="108">
        <f t="shared" si="59"/>
        <v>0</v>
      </c>
      <c r="R309" s="108">
        <f t="shared" si="67"/>
        <v>0</v>
      </c>
      <c r="S309" s="108">
        <f t="shared" si="60"/>
        <v>0</v>
      </c>
      <c r="T309" s="108">
        <f t="shared" si="61"/>
        <v>0</v>
      </c>
      <c r="U309" s="108">
        <f t="shared" si="68"/>
        <v>75</v>
      </c>
      <c r="V309" s="108">
        <f t="shared" si="62"/>
        <v>0</v>
      </c>
    </row>
    <row r="310" spans="1:22" ht="71.25" x14ac:dyDescent="0.2">
      <c r="A310" s="4" t="str">
        <f>Questions!$A310</f>
        <v>AIPL-01</v>
      </c>
      <c r="B310" s="4" t="str">
        <f t="shared" si="63"/>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Evaluation'!$A$56:$K$346,3,0)&amp;""</f>
        <v/>
      </c>
      <c r="G310" s="4" t="str">
        <f>VLOOKUP($A310,'Institution Evaluation'!$A$56:$K$346,7,0)&amp;""</f>
        <v>Yes</v>
      </c>
      <c r="H310" s="4" t="str">
        <f>VLOOKUP($A310,'Institution Evaluation'!$A$56:$K$346,8,0)&amp;""</f>
        <v/>
      </c>
      <c r="I310" s="4" t="str">
        <f>VLOOKUP($A310,'Institution Evaluation'!$A$56:$K$346,9,0)&amp;""</f>
        <v>Critical Importance</v>
      </c>
      <c r="J310" s="4" t="str">
        <f>VLOOKUP($A310,'Institution Evaluation'!$A$56:$K$346,10,0)&amp;""</f>
        <v/>
      </c>
      <c r="K310" s="4">
        <f t="shared" si="64"/>
        <v>20</v>
      </c>
      <c r="L310" s="108">
        <f>IF($E310="Not Scored", "N/A",IF(AND($D310='Auto Responses'!$J$27,$H310=""),"N/A",IF(AND($D310='Auto Responses'!$J$27,$H310='Auto Responses'!$J$7),1,IF(AND($D310='Auto Responses'!$J$27,$H310='Auto Responses'!$J$8),0,IF(OR($F310=$G310,$H310='Auto Responses'!$J$7),1,0)))))</f>
        <v>0</v>
      </c>
      <c r="M310" s="4" t="str">
        <f>VLOOKUP($A310,'Institution Evaluation'!$A$56:$K$346,10,0)&amp;""</f>
        <v/>
      </c>
      <c r="N310" s="4">
        <f t="shared" si="65"/>
        <v>1</v>
      </c>
      <c r="O310" s="108" t="str">
        <f t="shared" si="70"/>
        <v>N/A</v>
      </c>
      <c r="P310" s="108" t="str">
        <f t="shared" si="66"/>
        <v>N/A</v>
      </c>
      <c r="Q310" s="108">
        <f t="shared" si="59"/>
        <v>0</v>
      </c>
      <c r="R310" s="108">
        <f t="shared" si="67"/>
        <v>0</v>
      </c>
      <c r="S310" s="108">
        <f t="shared" si="60"/>
        <v>0</v>
      </c>
      <c r="T310" s="108">
        <f t="shared" si="61"/>
        <v>1</v>
      </c>
      <c r="U310" s="108">
        <f t="shared" si="68"/>
        <v>76</v>
      </c>
      <c r="V310" s="108">
        <f t="shared" si="62"/>
        <v>76</v>
      </c>
    </row>
    <row r="311" spans="1:22" ht="57" x14ac:dyDescent="0.2">
      <c r="A311" s="4" t="str">
        <f>Questions!$A311</f>
        <v>AIPL-02</v>
      </c>
      <c r="B311" s="4" t="str">
        <f t="shared" si="63"/>
        <v>AIPL</v>
      </c>
      <c r="C311" s="4" t="str">
        <f>VLOOKUP($A311,Questions!$A$3:$L$333,2,0)&amp;""</f>
        <v>Have you identified and measured AI risks?*</v>
      </c>
      <c r="D311" s="4" t="str">
        <f>VLOOKUP($A311,Questions!$A$3:$L$333,11,0)&amp;""</f>
        <v/>
      </c>
      <c r="E311" s="4" t="str">
        <f>VLOOKUP($A311,Questions!$A$3:$L$333,12,0)&amp;""</f>
        <v>AI</v>
      </c>
      <c r="F311" s="4" t="str">
        <f>VLOOKUP($A311,'Institution Evaluation'!$A$56:$K$346,3,0)&amp;""</f>
        <v/>
      </c>
      <c r="G311" s="4" t="str">
        <f>VLOOKUP($A311,'Institution Evaluation'!$A$56:$K$346,7,0)&amp;""</f>
        <v>Yes</v>
      </c>
      <c r="H311" s="4" t="str">
        <f>VLOOKUP($A311,'Institution Evaluation'!$A$56:$K$346,8,0)&amp;""</f>
        <v/>
      </c>
      <c r="I311" s="4" t="str">
        <f>VLOOKUP($A311,'Institution Evaluation'!$A$56:$K$346,9,0)&amp;""</f>
        <v>Critical Importance</v>
      </c>
      <c r="J311" s="4" t="str">
        <f>VLOOKUP($A311,'Institution Evaluation'!$A$56:$K$346,10,0)&amp;""</f>
        <v/>
      </c>
      <c r="K311" s="4">
        <f t="shared" si="64"/>
        <v>20</v>
      </c>
      <c r="L311" s="108">
        <f>IF($E311="Not Scored", "N/A",IF(AND($D311='Auto Responses'!$J$27,$H311=""),"N/A",IF(AND($D311='Auto Responses'!$J$27,$H311='Auto Responses'!$J$7),1,IF(AND($D311='Auto Responses'!$J$27,$H311='Auto Responses'!$J$8),0,IF(OR($F311=$G311,$H311='Auto Responses'!$J$7),1,0)))))</f>
        <v>0</v>
      </c>
      <c r="M311" s="4" t="str">
        <f>VLOOKUP($A311,'Institution Evaluation'!$A$56:$K$346,10,0)&amp;""</f>
        <v/>
      </c>
      <c r="N311" s="4">
        <f t="shared" si="65"/>
        <v>1</v>
      </c>
      <c r="O311" s="108" t="str">
        <f t="shared" si="70"/>
        <v>N/A</v>
      </c>
      <c r="P311" s="108" t="str">
        <f t="shared" si="66"/>
        <v>N/A</v>
      </c>
      <c r="Q311" s="108">
        <f t="shared" si="59"/>
        <v>0</v>
      </c>
      <c r="R311" s="108">
        <f t="shared" si="67"/>
        <v>0</v>
      </c>
      <c r="S311" s="108">
        <f t="shared" si="60"/>
        <v>0</v>
      </c>
      <c r="T311" s="108">
        <f t="shared" si="61"/>
        <v>1</v>
      </c>
      <c r="U311" s="108">
        <f t="shared" si="68"/>
        <v>77</v>
      </c>
      <c r="V311" s="108">
        <f t="shared" si="62"/>
        <v>77</v>
      </c>
    </row>
    <row r="312" spans="1:22" ht="57" x14ac:dyDescent="0.2">
      <c r="A312" s="4" t="str">
        <f>Questions!$A312</f>
        <v>AIPL-03</v>
      </c>
      <c r="B312" s="4" t="str">
        <f t="shared" si="63"/>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Evaluation'!$A$56:$K$346,3,0)&amp;""</f>
        <v/>
      </c>
      <c r="G312" s="4" t="str">
        <f>VLOOKUP($A312,'Institution Evaluation'!$A$56:$K$346,7,0)&amp;""</f>
        <v>Yes</v>
      </c>
      <c r="H312" s="4" t="str">
        <f>VLOOKUP($A312,'Institution Evaluation'!$A$56:$K$346,8,0)&amp;""</f>
        <v/>
      </c>
      <c r="I312" s="4" t="str">
        <f>VLOOKUP($A312,'Institution Evaluation'!$A$56:$K$346,9,0)&amp;""</f>
        <v>Critical Importance</v>
      </c>
      <c r="J312" s="4" t="str">
        <f>VLOOKUP($A312,'Institution Evaluation'!$A$56:$K$346,10,0)&amp;""</f>
        <v/>
      </c>
      <c r="K312" s="4">
        <f t="shared" si="64"/>
        <v>20</v>
      </c>
      <c r="L312" s="108">
        <f>IF($E312="Not Scored", "N/A",IF(AND($D312='Auto Responses'!$J$27,$H312=""),"N/A",IF(AND($D312='Auto Responses'!$J$27,$H312='Auto Responses'!$J$7),1,IF(AND($D312='Auto Responses'!$J$27,$H312='Auto Responses'!$J$8),0,IF(OR($F312=$G312,$H312='Auto Responses'!$J$7),1,0)))))</f>
        <v>0</v>
      </c>
      <c r="M312" s="4" t="str">
        <f>VLOOKUP($A312,'Institution Evaluation'!$A$56:$K$346,10,0)&amp;""</f>
        <v/>
      </c>
      <c r="N312" s="4">
        <f t="shared" si="65"/>
        <v>1</v>
      </c>
      <c r="O312" s="108" t="str">
        <f t="shared" si="70"/>
        <v>N/A</v>
      </c>
      <c r="P312" s="108" t="str">
        <f t="shared" si="66"/>
        <v>N/A</v>
      </c>
      <c r="Q312" s="108">
        <f t="shared" si="59"/>
        <v>0</v>
      </c>
      <c r="R312" s="108">
        <f t="shared" si="67"/>
        <v>0</v>
      </c>
      <c r="S312" s="108">
        <f t="shared" si="60"/>
        <v>0</v>
      </c>
      <c r="T312" s="108">
        <f t="shared" si="61"/>
        <v>1</v>
      </c>
      <c r="U312" s="108">
        <f t="shared" si="68"/>
        <v>78</v>
      </c>
      <c r="V312" s="108">
        <f t="shared" si="62"/>
        <v>78</v>
      </c>
    </row>
    <row r="313" spans="1:22" ht="57" x14ac:dyDescent="0.2">
      <c r="A313" s="4" t="str">
        <f>Questions!$A313</f>
        <v>AIPL-04</v>
      </c>
      <c r="B313" s="4" t="str">
        <f t="shared" si="63"/>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Evaluation'!$A$56:$K$346,3,0)&amp;""</f>
        <v/>
      </c>
      <c r="G313" s="4" t="str">
        <f>VLOOKUP($A313,'Institution Evaluation'!$A$56:$K$346,7,0)&amp;""</f>
        <v>Yes</v>
      </c>
      <c r="H313" s="4" t="str">
        <f>VLOOKUP($A313,'Institution Evaluation'!$A$56:$K$346,8,0)&amp;""</f>
        <v/>
      </c>
      <c r="I313" s="4" t="str">
        <f>VLOOKUP($A313,'Institution Evaluation'!$A$56:$K$346,9,0)&amp;""</f>
        <v>Critical Importance</v>
      </c>
      <c r="J313" s="4" t="str">
        <f>VLOOKUP($A313,'Institution Evaluation'!$A$56:$K$346,10,0)&amp;""</f>
        <v/>
      </c>
      <c r="K313" s="4">
        <f t="shared" si="64"/>
        <v>20</v>
      </c>
      <c r="L313" s="108">
        <f>IF($E313="Not Scored", "N/A",IF(AND($D313='Auto Responses'!$J$27,$H313=""),"N/A",IF(AND($D313='Auto Responses'!$J$27,$H313='Auto Responses'!$J$7),1,IF(AND($D313='Auto Responses'!$J$27,$H313='Auto Responses'!$J$8),0,IF(OR($F313=$G313,$H313='Auto Responses'!$J$7),1,0)))))</f>
        <v>0</v>
      </c>
      <c r="M313" s="4" t="str">
        <f>VLOOKUP($A313,'Institution Evaluation'!$A$56:$K$346,10,0)&amp;""</f>
        <v/>
      </c>
      <c r="N313" s="4">
        <f t="shared" si="65"/>
        <v>1</v>
      </c>
      <c r="O313" s="108" t="str">
        <f>IF(OR($F$20="No",$E313="Not Scored",$F313="N/A"),"N/A",IF($J313="",$K313,IF($J313="Minor Importance",5,IF($J313="Standard Importance",10,IF($J313="Critical Importance",20,0)))))</f>
        <v>N/A</v>
      </c>
      <c r="P313" s="108" t="str">
        <f t="shared" si="66"/>
        <v>N/A</v>
      </c>
      <c r="Q313" s="108">
        <f t="shared" si="59"/>
        <v>0</v>
      </c>
      <c r="R313" s="108">
        <f t="shared" si="67"/>
        <v>0</v>
      </c>
      <c r="S313" s="108">
        <f t="shared" si="60"/>
        <v>0</v>
      </c>
      <c r="T313" s="108">
        <f t="shared" si="61"/>
        <v>1</v>
      </c>
      <c r="U313" s="108">
        <f t="shared" si="68"/>
        <v>79</v>
      </c>
      <c r="V313" s="108">
        <f t="shared" si="62"/>
        <v>79</v>
      </c>
    </row>
    <row r="314" spans="1:22" ht="57" x14ac:dyDescent="0.2">
      <c r="A314" s="4" t="str">
        <f>Questions!$A314</f>
        <v>AIPL-05</v>
      </c>
      <c r="B314" s="4" t="str">
        <f t="shared" si="63"/>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Evaluation'!$A$56:$K$346,3,0)&amp;""</f>
        <v/>
      </c>
      <c r="G314" s="4" t="str">
        <f>VLOOKUP($A314,'Institution Evaluation'!$A$56:$K$346,7,0)&amp;""</f>
        <v>Yes</v>
      </c>
      <c r="H314" s="4" t="str">
        <f>VLOOKUP($A314,'Institution Evaluation'!$A$56:$K$346,8,0)&amp;""</f>
        <v/>
      </c>
      <c r="I314" s="4" t="str">
        <f>VLOOKUP($A314,'Institution Evaluation'!$A$56:$K$346,9,0)&amp;""</f>
        <v>Minor Importance</v>
      </c>
      <c r="J314" s="4" t="str">
        <f>VLOOKUP($A314,'Institution Evaluation'!$A$56:$K$346,10,0)&amp;""</f>
        <v/>
      </c>
      <c r="K314" s="4">
        <f t="shared" si="64"/>
        <v>5</v>
      </c>
      <c r="L314" s="108">
        <f>IF($E314="Not Scored", "N/A",IF(AND($D314='Auto Responses'!$J$27,$H314=""),"N/A",IF(AND($D314='Auto Responses'!$J$27,$H314='Auto Responses'!$J$7),1,IF(AND($D314='Auto Responses'!$J$27,$H314='Auto Responses'!$J$8),0,IF(OR($F314=$G314,$H314='Auto Responses'!$J$7),1,0)))))</f>
        <v>0</v>
      </c>
      <c r="M314" s="4" t="str">
        <f>VLOOKUP($A314,'Institution Evaluation'!$A$56:$K$346,10,0)&amp;""</f>
        <v/>
      </c>
      <c r="N314" s="4">
        <f t="shared" si="65"/>
        <v>0</v>
      </c>
      <c r="O314" s="108" t="str">
        <f t="shared" si="70"/>
        <v>N/A</v>
      </c>
      <c r="P314" s="108" t="str">
        <f t="shared" si="66"/>
        <v>N/A</v>
      </c>
      <c r="Q314" s="108">
        <f t="shared" si="59"/>
        <v>0</v>
      </c>
      <c r="R314" s="108">
        <f t="shared" si="67"/>
        <v>0</v>
      </c>
      <c r="S314" s="108">
        <f t="shared" si="60"/>
        <v>0</v>
      </c>
      <c r="T314" s="108">
        <f t="shared" si="61"/>
        <v>0</v>
      </c>
      <c r="U314" s="108">
        <f t="shared" si="68"/>
        <v>79</v>
      </c>
      <c r="V314" s="108">
        <f t="shared" si="62"/>
        <v>0</v>
      </c>
    </row>
    <row r="315" spans="1:22" ht="57" x14ac:dyDescent="0.2">
      <c r="A315" s="4" t="str">
        <f>Questions!$A315</f>
        <v>AISC-01</v>
      </c>
      <c r="B315" s="4" t="str">
        <f t="shared" si="63"/>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Evaluation'!$A$56:$K$346,3,0)&amp;""</f>
        <v/>
      </c>
      <c r="G315" s="4" t="str">
        <f>VLOOKUP($A315,'Institution Evaluation'!$A$56:$K$346,7,0)&amp;""</f>
        <v>Yes</v>
      </c>
      <c r="H315" s="4" t="str">
        <f>VLOOKUP($A315,'Institution Evaluation'!$A$56:$K$346,8,0)&amp;""</f>
        <v/>
      </c>
      <c r="I315" s="4" t="str">
        <f>VLOOKUP($A315,'Institution Evaluation'!$A$56:$K$346,9,0)&amp;""</f>
        <v>Critical Importance</v>
      </c>
      <c r="J315" s="4" t="str">
        <f>VLOOKUP($A315,'Institution Evaluation'!$A$56:$K$346,10,0)&amp;""</f>
        <v/>
      </c>
      <c r="K315" s="4">
        <f t="shared" si="64"/>
        <v>20</v>
      </c>
      <c r="L315" s="108">
        <f>IF($E315="Not Scored", "N/A",IF(AND($D315='Auto Responses'!$J$27,$H315=""),"N/A",IF(AND($D315='Auto Responses'!$J$27,$H315='Auto Responses'!$J$7),1,IF(AND($D315='Auto Responses'!$J$27,$H315='Auto Responses'!$J$8),0,IF(OR($F315=$G315,$H315='Auto Responses'!$J$7),1,0)))))</f>
        <v>0</v>
      </c>
      <c r="M315" s="4" t="str">
        <f>VLOOKUP($A315,'Institution Evaluation'!$A$56:$K$346,10,0)&amp;""</f>
        <v/>
      </c>
      <c r="N315" s="4">
        <f t="shared" si="65"/>
        <v>1</v>
      </c>
      <c r="O315" s="108" t="str">
        <f t="shared" si="70"/>
        <v>N/A</v>
      </c>
      <c r="P315" s="108" t="str">
        <f t="shared" si="66"/>
        <v>N/A</v>
      </c>
      <c r="Q315" s="108">
        <f t="shared" si="59"/>
        <v>0</v>
      </c>
      <c r="R315" s="108">
        <f t="shared" si="67"/>
        <v>0</v>
      </c>
      <c r="S315" s="108">
        <f t="shared" si="60"/>
        <v>0</v>
      </c>
      <c r="T315" s="108">
        <f t="shared" si="61"/>
        <v>1</v>
      </c>
      <c r="U315" s="108">
        <f t="shared" si="68"/>
        <v>80</v>
      </c>
      <c r="V315" s="108">
        <f t="shared" si="62"/>
        <v>80</v>
      </c>
    </row>
    <row r="316" spans="1:22" ht="57" x14ac:dyDescent="0.2">
      <c r="A316" s="4" t="str">
        <f>Questions!$A316</f>
        <v>AISC-02</v>
      </c>
      <c r="B316" s="4" t="str">
        <f t="shared" si="63"/>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Evaluation'!$A$56:$K$346,3,0)&amp;""</f>
        <v/>
      </c>
      <c r="G316" s="4" t="str">
        <f>VLOOKUP($A316,'Institution Evaluation'!$A$56:$K$346,7,0)&amp;""</f>
        <v>No</v>
      </c>
      <c r="H316" s="4" t="str">
        <f>VLOOKUP($A316,'Institution Evaluation'!$A$56:$K$346,8,0)&amp;""</f>
        <v/>
      </c>
      <c r="I316" s="4" t="str">
        <f>VLOOKUP($A316,'Institution Evaluation'!$A$56:$K$346,9,0)&amp;""</f>
        <v>Critical Importance</v>
      </c>
      <c r="J316" s="4" t="str">
        <f>VLOOKUP($A316,'Institution Evaluation'!$A$56:$K$346,10,0)&amp;""</f>
        <v/>
      </c>
      <c r="K316" s="4">
        <f t="shared" si="64"/>
        <v>20</v>
      </c>
      <c r="L316" s="108">
        <f>IF($E316="Not Scored", "N/A",IF(AND($D316='Auto Responses'!$J$27,$H316=""),"N/A",IF(AND($D316='Auto Responses'!$J$27,$H316='Auto Responses'!$J$7),1,IF(AND($D316='Auto Responses'!$J$27,$H316='Auto Responses'!$J$8),0,IF(OR($F316=$G316,$H316='Auto Responses'!$J$7),1,0)))))</f>
        <v>0</v>
      </c>
      <c r="M316" s="4" t="str">
        <f>VLOOKUP($A316,'Institution Evaluation'!$A$56:$K$346,10,0)&amp;""</f>
        <v/>
      </c>
      <c r="N316" s="4">
        <f t="shared" si="65"/>
        <v>1</v>
      </c>
      <c r="O316" s="108" t="str">
        <f t="shared" si="70"/>
        <v>N/A</v>
      </c>
      <c r="P316" s="108" t="str">
        <f t="shared" si="66"/>
        <v>N/A</v>
      </c>
      <c r="Q316" s="108">
        <f t="shared" si="59"/>
        <v>0</v>
      </c>
      <c r="R316" s="108">
        <f t="shared" si="67"/>
        <v>0</v>
      </c>
      <c r="S316" s="108">
        <f t="shared" si="60"/>
        <v>0</v>
      </c>
      <c r="T316" s="108">
        <f t="shared" si="61"/>
        <v>1</v>
      </c>
      <c r="U316" s="108">
        <f t="shared" si="68"/>
        <v>81</v>
      </c>
      <c r="V316" s="108">
        <f t="shared" si="62"/>
        <v>81</v>
      </c>
    </row>
    <row r="317" spans="1:22" ht="57" x14ac:dyDescent="0.2">
      <c r="A317" s="4" t="str">
        <f>Questions!$A317</f>
        <v>AISC-03</v>
      </c>
      <c r="B317" s="4" t="str">
        <f t="shared" si="63"/>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Evaluation'!$A$56:$K$346,3,0)&amp;""</f>
        <v/>
      </c>
      <c r="G317" s="4" t="str">
        <f>VLOOKUP($A317,'Institution Evaluation'!$A$56:$K$346,7,0)&amp;""</f>
        <v>Yes</v>
      </c>
      <c r="H317" s="4" t="str">
        <f>VLOOKUP($A317,'Institution Evaluation'!$A$56:$K$346,8,0)&amp;""</f>
        <v/>
      </c>
      <c r="I317" s="4" t="str">
        <f>VLOOKUP($A317,'Institution Evaluation'!$A$56:$K$346,9,0)&amp;""</f>
        <v>Critical Importance</v>
      </c>
      <c r="J317" s="4" t="str">
        <f>VLOOKUP($A317,'Institution Evaluation'!$A$56:$K$346,10,0)&amp;""</f>
        <v/>
      </c>
      <c r="K317" s="4">
        <f t="shared" si="64"/>
        <v>20</v>
      </c>
      <c r="L317" s="108">
        <f>IF($E317="Not Scored", "N/A",IF(AND($D317='Auto Responses'!$J$27,$H317=""),"N/A",IF(AND($D317='Auto Responses'!$J$27,$H317='Auto Responses'!$J$7),1,IF(AND($D317='Auto Responses'!$J$27,$H317='Auto Responses'!$J$8),0,IF(OR($F317=$G317,$H317='Auto Responses'!$J$7),1,0)))))</f>
        <v>0</v>
      </c>
      <c r="M317" s="4" t="str">
        <f>VLOOKUP($A317,'Institution Evaluation'!$A$56:$K$346,10,0)&amp;""</f>
        <v/>
      </c>
      <c r="N317" s="4">
        <f t="shared" si="65"/>
        <v>1</v>
      </c>
      <c r="O317" s="108" t="str">
        <f t="shared" si="70"/>
        <v>N/A</v>
      </c>
      <c r="P317" s="108" t="str">
        <f t="shared" si="66"/>
        <v>N/A</v>
      </c>
      <c r="Q317" s="108">
        <f t="shared" ref="Q317:Q333" si="71">IF(M317="TRUE",1,0)</f>
        <v>0</v>
      </c>
      <c r="R317" s="108">
        <f t="shared" si="67"/>
        <v>0</v>
      </c>
      <c r="S317" s="108">
        <f t="shared" ref="S317:S333" si="72">IF(Q317=0,0,R317)</f>
        <v>0</v>
      </c>
      <c r="T317" s="108">
        <f t="shared" ref="T317:T333" si="73">IF(N317=1,1,0)</f>
        <v>1</v>
      </c>
      <c r="U317" s="108">
        <f t="shared" si="68"/>
        <v>82</v>
      </c>
      <c r="V317" s="108">
        <f t="shared" ref="V317:V333" si="74">IF(T317=0,0,U317)</f>
        <v>82</v>
      </c>
    </row>
    <row r="318" spans="1:22" ht="57" x14ac:dyDescent="0.2">
      <c r="A318" s="4" t="str">
        <f>Questions!$A318</f>
        <v>AISC-04</v>
      </c>
      <c r="B318" s="4" t="str">
        <f t="shared" ref="B318:B333" si="75">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Evaluation'!$A$56:$K$346,3,0)&amp;""</f>
        <v/>
      </c>
      <c r="G318" s="4" t="str">
        <f>VLOOKUP($A318,'Institution Evaluation'!$A$56:$K$346,7,0)&amp;""</f>
        <v>Not scored</v>
      </c>
      <c r="H318" s="4" t="str">
        <f>VLOOKUP($A318,'Institution Evaluation'!$A$56:$K$346,8,0)&amp;""</f>
        <v/>
      </c>
      <c r="I318" s="4" t="str">
        <f>VLOOKUP($A318,'Institution Evaluation'!$A$56:$K$346,9,0)&amp;""</f>
        <v/>
      </c>
      <c r="J318" s="4" t="str">
        <f>VLOOKUP($A318,'Institution Evaluation'!$A$56:$K$346,10,0)&amp;""</f>
        <v/>
      </c>
      <c r="K318" s="4">
        <f t="shared" ref="K318:K333" si="76">IF($I318="Critical Importance",20,IF($I318="Minor Importance",5,10))</f>
        <v>10</v>
      </c>
      <c r="L318" s="108" t="str">
        <f>IF($E318="Not Scored", "N/A",IF(AND($D318='Auto Responses'!$J$27,$H318=""),"N/A",IF(AND($D318='Auto Responses'!$J$27,$H318='Auto Responses'!$J$7),1,IF(AND($D318='Auto Responses'!$J$27,$H318='Auto Responses'!$J$8),0,IF(OR($F318=$G318,$H318='Auto Responses'!$J$7),1,0)))))</f>
        <v>N/A</v>
      </c>
      <c r="M318" s="4" t="str">
        <f>VLOOKUP($A318,'Institution Evaluation'!$A$56:$K$346,10,0)&amp;""</f>
        <v/>
      </c>
      <c r="N318" s="4">
        <f t="shared" ref="N318:N333" si="77">IF($J318="Critical Importance",1,IF(AND($J318="",$I318="Critical Importance"),1,0))</f>
        <v>0</v>
      </c>
      <c r="O318" s="108" t="str">
        <f t="shared" si="70"/>
        <v>N/A</v>
      </c>
      <c r="P318" s="108" t="str">
        <f t="shared" ref="P318:P333" si="78">IF(OR($O318="N/A",$L318="N/A"),"N/A",$O318*$L318)</f>
        <v>N/A</v>
      </c>
      <c r="Q318" s="108">
        <f t="shared" si="71"/>
        <v>0</v>
      </c>
      <c r="R318" s="108">
        <f t="shared" si="67"/>
        <v>0</v>
      </c>
      <c r="S318" s="108">
        <f t="shared" si="72"/>
        <v>0</v>
      </c>
      <c r="T318" s="108">
        <f t="shared" si="73"/>
        <v>0</v>
      </c>
      <c r="U318" s="108">
        <f t="shared" si="68"/>
        <v>82</v>
      </c>
      <c r="V318" s="108">
        <f t="shared" si="74"/>
        <v>0</v>
      </c>
    </row>
    <row r="319" spans="1:22" ht="57" x14ac:dyDescent="0.2">
      <c r="A319" s="4" t="str">
        <f>Questions!$A319</f>
        <v>AISC-05</v>
      </c>
      <c r="B319" s="4" t="str">
        <f t="shared" si="75"/>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Evaluation'!$A$56:$K$346,3,0)&amp;""</f>
        <v/>
      </c>
      <c r="G319" s="4" t="str">
        <f>VLOOKUP($A319,'Institution Evaluation'!$A$56:$K$346,7,0)&amp;""</f>
        <v>Yes</v>
      </c>
      <c r="H319" s="4" t="str">
        <f>VLOOKUP($A319,'Institution Evaluation'!$A$56:$K$346,8,0)&amp;""</f>
        <v/>
      </c>
      <c r="I319" s="4" t="str">
        <f>VLOOKUP($A319,'Institution Evaluation'!$A$56:$K$346,9,0)&amp;""</f>
        <v>Standard Importance</v>
      </c>
      <c r="J319" s="4" t="str">
        <f>VLOOKUP($A319,'Institution Evaluation'!$A$56:$K$346,10,0)&amp;""</f>
        <v/>
      </c>
      <c r="K319" s="4">
        <f t="shared" si="76"/>
        <v>10</v>
      </c>
      <c r="L319" s="108">
        <f>IF($E319="Not Scored", "N/A",IF(AND($D319='Auto Responses'!$J$27,$H319=""),"N/A",IF(AND($D319='Auto Responses'!$J$27,$H319='Auto Responses'!$J$7),1,IF(AND($D319='Auto Responses'!$J$27,$H319='Auto Responses'!$J$8),0,IF(OR($F319=$G319,$H319='Auto Responses'!$J$7),1,0)))))</f>
        <v>0</v>
      </c>
      <c r="M319" s="4" t="str">
        <f>VLOOKUP($A319,'Institution Evaluation'!$A$56:$K$346,10,0)&amp;""</f>
        <v/>
      </c>
      <c r="N319" s="4">
        <f t="shared" si="77"/>
        <v>0</v>
      </c>
      <c r="O319" s="108" t="str">
        <f t="shared" si="70"/>
        <v>N/A</v>
      </c>
      <c r="P319" s="108" t="str">
        <f t="shared" si="78"/>
        <v>N/A</v>
      </c>
      <c r="Q319" s="108">
        <f t="shared" si="71"/>
        <v>0</v>
      </c>
      <c r="R319" s="108">
        <f t="shared" si="67"/>
        <v>0</v>
      </c>
      <c r="S319" s="108">
        <f t="shared" si="72"/>
        <v>0</v>
      </c>
      <c r="T319" s="108">
        <f t="shared" si="73"/>
        <v>0</v>
      </c>
      <c r="U319" s="108">
        <f t="shared" si="68"/>
        <v>82</v>
      </c>
      <c r="V319" s="108">
        <f t="shared" si="74"/>
        <v>0</v>
      </c>
    </row>
    <row r="320" spans="1:22" ht="57" x14ac:dyDescent="0.2">
      <c r="A320" s="4" t="str">
        <f>Questions!$A320</f>
        <v>AIML-01</v>
      </c>
      <c r="B320" s="4" t="str">
        <f t="shared" si="75"/>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Evaluation'!$A$56:$K$346,3,0)&amp;""</f>
        <v/>
      </c>
      <c r="G320" s="4" t="str">
        <f>VLOOKUP($A320,'Institution Evaluation'!$A$56:$K$346,7,0)&amp;""</f>
        <v>Yes</v>
      </c>
      <c r="H320" s="4" t="str">
        <f>VLOOKUP($A320,'Institution Evaluation'!$A$56:$K$346,8,0)&amp;""</f>
        <v/>
      </c>
      <c r="I320" s="4" t="str">
        <f>VLOOKUP($A320,'Institution Evaluation'!$A$56:$K$346,9,0)&amp;""</f>
        <v>Critical Importance</v>
      </c>
      <c r="J320" s="4" t="str">
        <f>VLOOKUP($A320,'Institution Evaluation'!$A$56:$K$346,10,0)&amp;""</f>
        <v/>
      </c>
      <c r="K320" s="4">
        <f t="shared" si="76"/>
        <v>20</v>
      </c>
      <c r="L320" s="108">
        <f>IF($E320="Not Scored", "N/A",IF(AND($D320='Auto Responses'!$J$27,$H320=""),"N/A",IF(AND($D320='Auto Responses'!$J$27,$H320='Auto Responses'!$J$7),1,IF(AND($D320='Auto Responses'!$J$27,$H320='Auto Responses'!$J$8),0,IF(OR($F320=$G320,$H320='Auto Responses'!$J$7),1,0)))))</f>
        <v>0</v>
      </c>
      <c r="M320" s="4" t="str">
        <f>VLOOKUP($A320,'Institution Evaluation'!$A$56:$K$346,10,0)&amp;""</f>
        <v/>
      </c>
      <c r="N320" s="4">
        <f t="shared" si="77"/>
        <v>1</v>
      </c>
      <c r="O320" s="108" t="str">
        <f t="shared" ref="O320:O327" si="79">IF(OR($F$20="No",$F$303="No",$E320="Not Scored"),"N/A",IF($J320="",$K320,IF($J320="Minor Importance",5,IF($J320="Standard Importance",10,IF($J320="Critical Importance",20,0)))))</f>
        <v>N/A</v>
      </c>
      <c r="P320" s="108" t="str">
        <f t="shared" si="78"/>
        <v>N/A</v>
      </c>
      <c r="Q320" s="108">
        <f t="shared" si="71"/>
        <v>0</v>
      </c>
      <c r="R320" s="108">
        <f t="shared" si="67"/>
        <v>0</v>
      </c>
      <c r="S320" s="108">
        <f t="shared" si="72"/>
        <v>0</v>
      </c>
      <c r="T320" s="108">
        <f t="shared" si="73"/>
        <v>1</v>
      </c>
      <c r="U320" s="108">
        <f t="shared" si="68"/>
        <v>83</v>
      </c>
      <c r="V320" s="108">
        <f t="shared" si="74"/>
        <v>83</v>
      </c>
    </row>
    <row r="321" spans="1:23" ht="57" x14ac:dyDescent="0.2">
      <c r="A321" s="4" t="str">
        <f>Questions!$A321</f>
        <v>AIML-02</v>
      </c>
      <c r="B321" s="4" t="str">
        <f t="shared" si="75"/>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Evaluation'!$A$56:$K$346,3,0)&amp;""</f>
        <v/>
      </c>
      <c r="G321" s="4" t="str">
        <f>VLOOKUP($A321,'Institution Evaluation'!$A$56:$K$346,7,0)&amp;""</f>
        <v>Yes</v>
      </c>
      <c r="H321" s="4" t="str">
        <f>VLOOKUP($A321,'Institution Evaluation'!$A$56:$K$346,8,0)&amp;""</f>
        <v/>
      </c>
      <c r="I321" s="4" t="str">
        <f>VLOOKUP($A321,'Institution Evaluation'!$A$56:$K$346,9,0)&amp;""</f>
        <v>Critical Importance</v>
      </c>
      <c r="J321" s="4" t="str">
        <f>VLOOKUP($A321,'Institution Evaluation'!$A$56:$K$346,10,0)&amp;""</f>
        <v/>
      </c>
      <c r="K321" s="4">
        <f t="shared" si="76"/>
        <v>20</v>
      </c>
      <c r="L321" s="108">
        <f>IF($E321="Not Scored", "N/A",IF(AND($D321='Auto Responses'!$J$27,$H321=""),"N/A",IF(AND($D321='Auto Responses'!$J$27,$H321='Auto Responses'!$J$7),1,IF(AND($D321='Auto Responses'!$J$27,$H321='Auto Responses'!$J$8),0,IF(OR($F321=$G321,$H321='Auto Responses'!$J$7),1,0)))))</f>
        <v>0</v>
      </c>
      <c r="M321" s="4" t="str">
        <f>VLOOKUP($A321,'Institution Evaluation'!$A$56:$K$346,10,0)&amp;""</f>
        <v/>
      </c>
      <c r="N321" s="4">
        <f t="shared" si="77"/>
        <v>1</v>
      </c>
      <c r="O321" s="108" t="str">
        <f t="shared" si="79"/>
        <v>N/A</v>
      </c>
      <c r="P321" s="108" t="str">
        <f t="shared" si="78"/>
        <v>N/A</v>
      </c>
      <c r="Q321" s="108">
        <f t="shared" si="71"/>
        <v>0</v>
      </c>
      <c r="R321" s="108">
        <f t="shared" si="67"/>
        <v>0</v>
      </c>
      <c r="S321" s="108">
        <f t="shared" si="72"/>
        <v>0</v>
      </c>
      <c r="T321" s="108">
        <f t="shared" si="73"/>
        <v>1</v>
      </c>
      <c r="U321" s="108">
        <f t="shared" si="68"/>
        <v>84</v>
      </c>
      <c r="V321" s="108">
        <f t="shared" si="74"/>
        <v>84</v>
      </c>
    </row>
    <row r="322" spans="1:23" ht="57" x14ac:dyDescent="0.2">
      <c r="A322" s="4" t="str">
        <f>Questions!$A322</f>
        <v>AIML-03</v>
      </c>
      <c r="B322" s="4" t="str">
        <f t="shared" si="75"/>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Evaluation'!$A$56:$K$346,3,0)&amp;""</f>
        <v/>
      </c>
      <c r="G322" s="4" t="str">
        <f>VLOOKUP($A322,'Institution Evaluation'!$A$56:$K$346,7,0)&amp;""</f>
        <v>Yes</v>
      </c>
      <c r="H322" s="4" t="str">
        <f>VLOOKUP($A322,'Institution Evaluation'!$A$56:$K$346,8,0)&amp;""</f>
        <v/>
      </c>
      <c r="I322" s="4" t="str">
        <f>VLOOKUP($A322,'Institution Evaluation'!$A$56:$K$346,9,0)&amp;""</f>
        <v>Standard Importance</v>
      </c>
      <c r="J322" s="4" t="str">
        <f>VLOOKUP($A322,'Institution Evaluation'!$A$56:$K$346,10,0)&amp;""</f>
        <v/>
      </c>
      <c r="K322" s="4">
        <f t="shared" si="76"/>
        <v>10</v>
      </c>
      <c r="L322" s="108">
        <f>IF($E322="Not Scored", "N/A",IF(AND($D322='Auto Responses'!$J$27,$H322=""),"N/A",IF(AND($D322='Auto Responses'!$J$27,$H322='Auto Responses'!$J$7),1,IF(AND($D322='Auto Responses'!$J$27,$H322='Auto Responses'!$J$8),0,IF(OR($F322=$G322,$H322='Auto Responses'!$J$7),1,0)))))</f>
        <v>0</v>
      </c>
      <c r="M322" s="4" t="str">
        <f>VLOOKUP($A322,'Institution Evaluation'!$A$56:$K$346,10,0)&amp;""</f>
        <v/>
      </c>
      <c r="N322" s="4">
        <f t="shared" si="77"/>
        <v>0</v>
      </c>
      <c r="O322" s="108" t="str">
        <f t="shared" si="79"/>
        <v>N/A</v>
      </c>
      <c r="P322" s="108" t="str">
        <f t="shared" si="78"/>
        <v>N/A</v>
      </c>
      <c r="Q322" s="108">
        <f t="shared" si="71"/>
        <v>0</v>
      </c>
      <c r="R322" s="108">
        <f t="shared" si="67"/>
        <v>0</v>
      </c>
      <c r="S322" s="108">
        <f t="shared" si="72"/>
        <v>0</v>
      </c>
      <c r="T322" s="108">
        <f t="shared" si="73"/>
        <v>0</v>
      </c>
      <c r="U322" s="108">
        <f t="shared" si="68"/>
        <v>84</v>
      </c>
      <c r="V322" s="108">
        <f t="shared" si="74"/>
        <v>0</v>
      </c>
    </row>
    <row r="323" spans="1:23" ht="57" x14ac:dyDescent="0.2">
      <c r="A323" s="4" t="str">
        <f>Questions!$A323</f>
        <v>AIML-04</v>
      </c>
      <c r="B323" s="4" t="str">
        <f t="shared" si="75"/>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Evaluation'!$A$56:$K$346,3,0)&amp;""</f>
        <v/>
      </c>
      <c r="G323" s="4" t="str">
        <f>VLOOKUP($A323,'Institution Evaluation'!$A$56:$K$346,7,0)&amp;""</f>
        <v>Yes</v>
      </c>
      <c r="H323" s="4" t="str">
        <f>VLOOKUP($A323,'Institution Evaluation'!$A$56:$K$346,8,0)&amp;""</f>
        <v/>
      </c>
      <c r="I323" s="4" t="str">
        <f>VLOOKUP($A323,'Institution Evaluation'!$A$56:$K$346,9,0)&amp;""</f>
        <v>Standard Importance</v>
      </c>
      <c r="J323" s="4" t="str">
        <f>VLOOKUP($A323,'Institution Evaluation'!$A$56:$K$346,10,0)&amp;""</f>
        <v/>
      </c>
      <c r="K323" s="4">
        <f t="shared" si="76"/>
        <v>10</v>
      </c>
      <c r="L323" s="108">
        <f>IF($E323="Not Scored", "N/A",IF(AND($D323='Auto Responses'!$J$27,$H323=""),"N/A",IF(AND($D323='Auto Responses'!$J$27,$H323='Auto Responses'!$J$7),1,IF(AND($D323='Auto Responses'!$J$27,$H323='Auto Responses'!$J$8),0,IF(OR($F323=$G323,$H323='Auto Responses'!$J$7),1,0)))))</f>
        <v>0</v>
      </c>
      <c r="M323" s="4" t="str">
        <f>VLOOKUP($A323,'Institution Evaluation'!$A$56:$K$346,10,0)&amp;""</f>
        <v/>
      </c>
      <c r="N323" s="4">
        <f t="shared" si="77"/>
        <v>0</v>
      </c>
      <c r="O323" s="108" t="str">
        <f t="shared" si="79"/>
        <v>N/A</v>
      </c>
      <c r="P323" s="108" t="str">
        <f t="shared" si="78"/>
        <v>N/A</v>
      </c>
      <c r="Q323" s="108">
        <f t="shared" si="71"/>
        <v>0</v>
      </c>
      <c r="R323" s="108">
        <f t="shared" si="67"/>
        <v>0</v>
      </c>
      <c r="S323" s="108">
        <f t="shared" si="72"/>
        <v>0</v>
      </c>
      <c r="T323" s="108">
        <f t="shared" si="73"/>
        <v>0</v>
      </c>
      <c r="U323" s="108">
        <f t="shared" si="68"/>
        <v>84</v>
      </c>
      <c r="V323" s="108">
        <f t="shared" si="74"/>
        <v>0</v>
      </c>
    </row>
    <row r="324" spans="1:23" ht="57" x14ac:dyDescent="0.2">
      <c r="A324" s="4" t="str">
        <f>Questions!$A324</f>
        <v>AIML-05</v>
      </c>
      <c r="B324" s="4" t="str">
        <f t="shared" si="75"/>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Evaluation'!$A$56:$K$346,3,0)&amp;""</f>
        <v/>
      </c>
      <c r="G324" s="4" t="str">
        <f>VLOOKUP($A324,'Institution Evaluation'!$A$56:$K$346,7,0)&amp;""</f>
        <v>Yes</v>
      </c>
      <c r="H324" s="4" t="str">
        <f>VLOOKUP($A324,'Institution Evaluation'!$A$56:$K$346,8,0)&amp;""</f>
        <v/>
      </c>
      <c r="I324" s="4" t="str">
        <f>VLOOKUP($A324,'Institution Evaluation'!$A$56:$K$346,9,0)&amp;""</f>
        <v>Minor Importance</v>
      </c>
      <c r="J324" s="4" t="str">
        <f>VLOOKUP($A324,'Institution Evaluation'!$A$56:$K$346,10,0)&amp;""</f>
        <v/>
      </c>
      <c r="K324" s="4">
        <f t="shared" si="76"/>
        <v>5</v>
      </c>
      <c r="L324" s="108">
        <f>IF($E324="Not Scored", "N/A",IF(AND($D324='Auto Responses'!$J$27,$H324=""),"N/A",IF(AND($D324='Auto Responses'!$J$27,$H324='Auto Responses'!$J$7),1,IF(AND($D324='Auto Responses'!$J$27,$H324='Auto Responses'!$J$8),0,IF(OR($F324=$G324,$H324='Auto Responses'!$J$7),1,0)))))</f>
        <v>0</v>
      </c>
      <c r="M324" s="4" t="str">
        <f>VLOOKUP($A324,'Institution Evaluation'!$A$56:$K$346,10,0)&amp;""</f>
        <v/>
      </c>
      <c r="N324" s="4">
        <f t="shared" si="77"/>
        <v>0</v>
      </c>
      <c r="O324" s="108" t="str">
        <f t="shared" si="79"/>
        <v>N/A</v>
      </c>
      <c r="P324" s="108" t="str">
        <f t="shared" si="78"/>
        <v>N/A</v>
      </c>
      <c r="Q324" s="108">
        <f t="shared" si="71"/>
        <v>0</v>
      </c>
      <c r="R324" s="108">
        <f t="shared" si="67"/>
        <v>0</v>
      </c>
      <c r="S324" s="108">
        <f t="shared" si="72"/>
        <v>0</v>
      </c>
      <c r="T324" s="108">
        <f t="shared" si="73"/>
        <v>0</v>
      </c>
      <c r="U324" s="108">
        <f t="shared" si="68"/>
        <v>84</v>
      </c>
      <c r="V324" s="108">
        <f t="shared" si="74"/>
        <v>0</v>
      </c>
    </row>
    <row r="325" spans="1:23" ht="57" x14ac:dyDescent="0.2">
      <c r="A325" s="4" t="str">
        <f>Questions!$A325</f>
        <v>AIML-06</v>
      </c>
      <c r="B325" s="4" t="str">
        <f t="shared" si="75"/>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Evaluation'!$A$56:$K$346,3,0)&amp;""</f>
        <v/>
      </c>
      <c r="G325" s="4" t="str">
        <f>VLOOKUP($A325,'Institution Evaluation'!$A$56:$K$346,7,0)&amp;""</f>
        <v>Yes</v>
      </c>
      <c r="H325" s="4" t="str">
        <f>VLOOKUP($A325,'Institution Evaluation'!$A$56:$K$346,8,0)&amp;""</f>
        <v/>
      </c>
      <c r="I325" s="4" t="str">
        <f>VLOOKUP($A325,'Institution Evaluation'!$A$56:$K$346,9,0)&amp;""</f>
        <v>Minor Importance</v>
      </c>
      <c r="J325" s="4" t="str">
        <f>VLOOKUP($A325,'Institution Evaluation'!$A$56:$K$346,10,0)&amp;""</f>
        <v/>
      </c>
      <c r="K325" s="4">
        <f t="shared" si="76"/>
        <v>5</v>
      </c>
      <c r="L325" s="108">
        <f>IF($E325="Not Scored", "N/A",IF(AND($D325='Auto Responses'!$J$27,$H325=""),"N/A",IF(AND($D325='Auto Responses'!$J$27,$H325='Auto Responses'!$J$7),1,IF(AND($D325='Auto Responses'!$J$27,$H325='Auto Responses'!$J$8),0,IF(OR($F325=$G325,$H325='Auto Responses'!$J$7),1,0)))))</f>
        <v>0</v>
      </c>
      <c r="M325" s="4" t="str">
        <f>VLOOKUP($A325,'Institution Evaluation'!$A$56:$K$346,10,0)&amp;""</f>
        <v/>
      </c>
      <c r="N325" s="4">
        <f t="shared" si="77"/>
        <v>0</v>
      </c>
      <c r="O325" s="108" t="str">
        <f t="shared" si="79"/>
        <v>N/A</v>
      </c>
      <c r="P325" s="108" t="str">
        <f t="shared" si="78"/>
        <v>N/A</v>
      </c>
      <c r="Q325" s="108">
        <f t="shared" si="71"/>
        <v>0</v>
      </c>
      <c r="R325" s="108">
        <f t="shared" ref="R325:R333" si="80">R324+Q325</f>
        <v>0</v>
      </c>
      <c r="S325" s="108">
        <f t="shared" si="72"/>
        <v>0</v>
      </c>
      <c r="T325" s="108">
        <f t="shared" si="73"/>
        <v>0</v>
      </c>
      <c r="U325" s="108">
        <f t="shared" ref="U325:U333" si="81">U324+T325</f>
        <v>84</v>
      </c>
      <c r="V325" s="108">
        <f t="shared" si="74"/>
        <v>0</v>
      </c>
    </row>
    <row r="326" spans="1:23" ht="57" x14ac:dyDescent="0.2">
      <c r="A326" s="4" t="str">
        <f>Questions!$A326</f>
        <v>AIML-07</v>
      </c>
      <c r="B326" s="4" t="str">
        <f t="shared" si="75"/>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Evaluation'!$A$56:$K$346,3,0)&amp;""</f>
        <v/>
      </c>
      <c r="G326" s="4" t="str">
        <f>VLOOKUP($A326,'Institution Evaluation'!$A$56:$K$346,7,0)&amp;""</f>
        <v>Yes</v>
      </c>
      <c r="H326" s="4" t="str">
        <f>VLOOKUP($A326,'Institution Evaluation'!$A$56:$K$346,8,0)&amp;""</f>
        <v/>
      </c>
      <c r="I326" s="4" t="str">
        <f>VLOOKUP($A326,'Institution Evaluation'!$A$56:$K$346,9,0)&amp;""</f>
        <v>Minor Importance</v>
      </c>
      <c r="J326" s="4" t="str">
        <f>VLOOKUP($A326,'Institution Evaluation'!$A$56:$K$346,10,0)&amp;""</f>
        <v/>
      </c>
      <c r="K326" s="4">
        <f t="shared" si="76"/>
        <v>5</v>
      </c>
      <c r="L326" s="108">
        <f>IF($E326="Not Scored", "N/A",IF(AND($D326='Auto Responses'!$J$27,$H326=""),"N/A",IF(AND($D326='Auto Responses'!$J$27,$H326='Auto Responses'!$J$7),1,IF(AND($D326='Auto Responses'!$J$27,$H326='Auto Responses'!$J$8),0,IF(OR($F326=$G326,$H326='Auto Responses'!$J$7),1,0)))))</f>
        <v>0</v>
      </c>
      <c r="M326" s="4" t="str">
        <f>VLOOKUP($A326,'Institution Evaluation'!$A$56:$K$346,10,0)&amp;""</f>
        <v/>
      </c>
      <c r="N326" s="4">
        <f t="shared" si="77"/>
        <v>0</v>
      </c>
      <c r="O326" s="108" t="str">
        <f t="shared" si="79"/>
        <v>N/A</v>
      </c>
      <c r="P326" s="108" t="str">
        <f t="shared" si="78"/>
        <v>N/A</v>
      </c>
      <c r="Q326" s="108">
        <f t="shared" si="71"/>
        <v>0</v>
      </c>
      <c r="R326" s="108">
        <f t="shared" si="80"/>
        <v>0</v>
      </c>
      <c r="S326" s="108">
        <f t="shared" si="72"/>
        <v>0</v>
      </c>
      <c r="T326" s="108">
        <f t="shared" si="73"/>
        <v>0</v>
      </c>
      <c r="U326" s="108">
        <f t="shared" si="81"/>
        <v>84</v>
      </c>
      <c r="V326" s="108">
        <f t="shared" si="74"/>
        <v>0</v>
      </c>
    </row>
    <row r="327" spans="1:23" ht="57" x14ac:dyDescent="0.2">
      <c r="A327" s="4" t="str">
        <f>Questions!$A327</f>
        <v>AIML-08</v>
      </c>
      <c r="B327" s="4" t="str">
        <f t="shared" si="75"/>
        <v>AIML</v>
      </c>
      <c r="C327" s="4" t="str">
        <f>VLOOKUP($A327,Questions!$A$3:$L$333,2,0)&amp;""</f>
        <v>Do you watermark your ML training data?</v>
      </c>
      <c r="D327" s="4" t="str">
        <f>VLOOKUP($A327,Questions!$A$3:$L$333,11,0)&amp;""</f>
        <v/>
      </c>
      <c r="E327" s="4" t="str">
        <f>VLOOKUP($A327,Questions!$A$3:$L$333,12,0)&amp;""</f>
        <v>AI</v>
      </c>
      <c r="F327" s="4" t="str">
        <f>VLOOKUP($A327,'Institution Evaluation'!$A$56:$K$346,3,0)&amp;""</f>
        <v/>
      </c>
      <c r="G327" s="4" t="str">
        <f>VLOOKUP($A327,'Institution Evaluation'!$A$56:$K$346,7,0)&amp;""</f>
        <v>Yes</v>
      </c>
      <c r="H327" s="4" t="str">
        <f>VLOOKUP($A327,'Institution Evaluation'!$A$56:$K$346,8,0)&amp;""</f>
        <v/>
      </c>
      <c r="I327" s="4" t="str">
        <f>VLOOKUP($A327,'Institution Evaluation'!$A$56:$K$346,9,0)&amp;""</f>
        <v>Minor Importance</v>
      </c>
      <c r="J327" s="4" t="str">
        <f>VLOOKUP($A327,'Institution Evaluation'!$A$56:$K$346,10,0)&amp;""</f>
        <v/>
      </c>
      <c r="K327" s="4">
        <f t="shared" si="76"/>
        <v>5</v>
      </c>
      <c r="L327" s="108">
        <f>IF($E327="Not Scored", "N/A",IF(AND($D327='Auto Responses'!$J$27,$H327=""),"N/A",IF(AND($D327='Auto Responses'!$J$27,$H327='Auto Responses'!$J$7),1,IF(AND($D327='Auto Responses'!$J$27,$H327='Auto Responses'!$J$8),0,IF(OR($F327=$G327,$H327='Auto Responses'!$J$7),1,0)))))</f>
        <v>0</v>
      </c>
      <c r="M327" s="4" t="str">
        <f>VLOOKUP($A327,'Institution Evaluation'!$A$56:$K$346,10,0)&amp;""</f>
        <v/>
      </c>
      <c r="N327" s="4">
        <f t="shared" si="77"/>
        <v>0</v>
      </c>
      <c r="O327" s="108" t="str">
        <f t="shared" si="79"/>
        <v>N/A</v>
      </c>
      <c r="P327" s="108" t="str">
        <f t="shared" si="78"/>
        <v>N/A</v>
      </c>
      <c r="Q327" s="108">
        <f t="shared" si="71"/>
        <v>0</v>
      </c>
      <c r="R327" s="108">
        <f t="shared" si="80"/>
        <v>0</v>
      </c>
      <c r="S327" s="108">
        <f t="shared" si="72"/>
        <v>0</v>
      </c>
      <c r="T327" s="108">
        <f t="shared" si="73"/>
        <v>0</v>
      </c>
      <c r="U327" s="108">
        <f t="shared" si="81"/>
        <v>84</v>
      </c>
      <c r="V327" s="108">
        <f t="shared" si="74"/>
        <v>0</v>
      </c>
    </row>
    <row r="328" spans="1:23" ht="57" x14ac:dyDescent="0.2">
      <c r="A328" s="4" t="str">
        <f>Questions!$A328</f>
        <v>AILM-01</v>
      </c>
      <c r="B328" s="4" t="str">
        <f t="shared" si="75"/>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Evaluation'!$A$56:$K$346,3,0)&amp;""</f>
        <v/>
      </c>
      <c r="G328" s="4" t="str">
        <f>VLOOKUP($A328,'Institution Evaluation'!$A$56:$K$346,7,0)&amp;""</f>
        <v>Yes</v>
      </c>
      <c r="H328" s="4" t="str">
        <f>VLOOKUP($A328,'Institution Evaluation'!$A$56:$K$346,8,0)&amp;""</f>
        <v/>
      </c>
      <c r="I328" s="4" t="str">
        <f>VLOOKUP($A328,'Institution Evaluation'!$A$56:$K$346,9,0)&amp;""</f>
        <v>Critical Importance</v>
      </c>
      <c r="J328" s="4" t="str">
        <f>VLOOKUP($A328,'Institution Evaluation'!$A$56:$K$346,10,0)&amp;""</f>
        <v/>
      </c>
      <c r="K328" s="4">
        <f t="shared" si="76"/>
        <v>20</v>
      </c>
      <c r="L328" s="108">
        <f>IF($E328="Not Scored", "N/A",IF(AND($D328='Auto Responses'!$J$27,$H328=""),"N/A",IF(AND($D328='Auto Responses'!$J$27,$H328='Auto Responses'!$J$7),1,IF(AND($D328='Auto Responses'!$J$27,$H328='Auto Responses'!$J$8),0,IF(OR($F328=$G328,$H328='Auto Responses'!$J$7),1,0)))))</f>
        <v>0</v>
      </c>
      <c r="M328" s="4" t="str">
        <f>VLOOKUP($A328,'Institution Evaluation'!$A$56:$K$346,10,0)&amp;""</f>
        <v/>
      </c>
      <c r="N328" s="4">
        <f t="shared" si="77"/>
        <v>1</v>
      </c>
      <c r="O328" s="108" t="str">
        <f t="shared" ref="O328:O333" si="82">IF(OR($F$20="No",$F$304="No",$E328="Not Scored"),"N/A",IF($J328="",$K328,IF($J328="Minor Importance",5,IF($J328="Standard Importance",10,IF($J328="Critical Importance",20,0)))))</f>
        <v>N/A</v>
      </c>
      <c r="P328" s="108" t="str">
        <f t="shared" si="78"/>
        <v>N/A</v>
      </c>
      <c r="Q328" s="108">
        <f t="shared" si="71"/>
        <v>0</v>
      </c>
      <c r="R328" s="108">
        <f t="shared" si="80"/>
        <v>0</v>
      </c>
      <c r="S328" s="108">
        <f t="shared" si="72"/>
        <v>0</v>
      </c>
      <c r="T328" s="108">
        <f t="shared" si="73"/>
        <v>1</v>
      </c>
      <c r="U328" s="108">
        <f t="shared" si="81"/>
        <v>85</v>
      </c>
      <c r="V328" s="108">
        <f t="shared" si="74"/>
        <v>85</v>
      </c>
    </row>
    <row r="329" spans="1:23" ht="57" x14ac:dyDescent="0.2">
      <c r="A329" s="4" t="str">
        <f>Questions!$A329</f>
        <v>AILM-02</v>
      </c>
      <c r="B329" s="4" t="str">
        <f t="shared" si="75"/>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Evaluation'!$A$56:$K$346,3,0)&amp;""</f>
        <v/>
      </c>
      <c r="G329" s="4" t="str">
        <f>VLOOKUP($A329,'Institution Evaluation'!$A$56:$K$346,7,0)&amp;""</f>
        <v>Yes</v>
      </c>
      <c r="H329" s="4" t="str">
        <f>VLOOKUP($A329,'Institution Evaluation'!$A$56:$K$346,8,0)&amp;""</f>
        <v/>
      </c>
      <c r="I329" s="4" t="str">
        <f>VLOOKUP($A329,'Institution Evaluation'!$A$56:$K$346,9,0)&amp;""</f>
        <v>Critical Importance</v>
      </c>
      <c r="J329" s="4" t="str">
        <f>VLOOKUP($A329,'Institution Evaluation'!$A$56:$K$346,10,0)&amp;""</f>
        <v/>
      </c>
      <c r="K329" s="4">
        <f t="shared" si="76"/>
        <v>20</v>
      </c>
      <c r="L329" s="108">
        <f>IF($E329="Not Scored", "N/A",IF(AND($D329='Auto Responses'!$J$27,$H329=""),"N/A",IF(AND($D329='Auto Responses'!$J$27,$H329='Auto Responses'!$J$7),1,IF(AND($D329='Auto Responses'!$J$27,$H329='Auto Responses'!$J$8),0,IF(OR($F329=$G329,$H329='Auto Responses'!$J$7),1,0)))))</f>
        <v>0</v>
      </c>
      <c r="M329" s="4" t="str">
        <f>VLOOKUP($A329,'Institution Evaluation'!$A$56:$K$346,10,0)&amp;""</f>
        <v/>
      </c>
      <c r="N329" s="4">
        <f t="shared" si="77"/>
        <v>1</v>
      </c>
      <c r="O329" s="108" t="str">
        <f t="shared" si="82"/>
        <v>N/A</v>
      </c>
      <c r="P329" s="108" t="str">
        <f t="shared" si="78"/>
        <v>N/A</v>
      </c>
      <c r="Q329" s="108">
        <f t="shared" si="71"/>
        <v>0</v>
      </c>
      <c r="R329" s="108">
        <f t="shared" si="80"/>
        <v>0</v>
      </c>
      <c r="S329" s="108">
        <f t="shared" si="72"/>
        <v>0</v>
      </c>
      <c r="T329" s="108">
        <f t="shared" si="73"/>
        <v>1</v>
      </c>
      <c r="U329" s="108">
        <f t="shared" si="81"/>
        <v>86</v>
      </c>
      <c r="V329" s="108">
        <f t="shared" si="74"/>
        <v>86</v>
      </c>
    </row>
    <row r="330" spans="1:23" ht="57" x14ac:dyDescent="0.2">
      <c r="A330" s="4" t="str">
        <f>Questions!$A330</f>
        <v>AILM-03</v>
      </c>
      <c r="B330" s="4" t="str">
        <f t="shared" si="75"/>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Evaluation'!$A$56:$K$346,3,0)&amp;""</f>
        <v/>
      </c>
      <c r="G330" s="4" t="str">
        <f>VLOOKUP($A330,'Institution Evaluation'!$A$56:$K$346,7,0)&amp;""</f>
        <v>Yes</v>
      </c>
      <c r="H330" s="4" t="str">
        <f>VLOOKUP($A330,'Institution Evaluation'!$A$56:$K$346,8,0)&amp;""</f>
        <v/>
      </c>
      <c r="I330" s="4" t="str">
        <f>VLOOKUP($A330,'Institution Evaluation'!$A$56:$K$346,9,0)&amp;""</f>
        <v>Critical Importance</v>
      </c>
      <c r="J330" s="4" t="str">
        <f>VLOOKUP($A330,'Institution Evaluation'!$A$56:$K$346,10,0)&amp;""</f>
        <v/>
      </c>
      <c r="K330" s="4">
        <f t="shared" si="76"/>
        <v>20</v>
      </c>
      <c r="L330" s="108">
        <f>IF($E330="Not Scored", "N/A",IF(AND($D330='Auto Responses'!$J$27,$H330=""),"N/A",IF(AND($D330='Auto Responses'!$J$27,$H330='Auto Responses'!$J$7),1,IF(AND($D330='Auto Responses'!$J$27,$H330='Auto Responses'!$J$8),0,IF(OR($F330=$G330,$H330='Auto Responses'!$J$7),1,0)))))</f>
        <v>0</v>
      </c>
      <c r="M330" s="4" t="str">
        <f>VLOOKUP($A330,'Institution Evaluation'!$A$56:$K$346,10,0)&amp;""</f>
        <v/>
      </c>
      <c r="N330" s="4">
        <f t="shared" si="77"/>
        <v>1</v>
      </c>
      <c r="O330" s="108" t="str">
        <f t="shared" si="82"/>
        <v>N/A</v>
      </c>
      <c r="P330" s="108" t="str">
        <f t="shared" si="78"/>
        <v>N/A</v>
      </c>
      <c r="Q330" s="108">
        <f t="shared" si="71"/>
        <v>0</v>
      </c>
      <c r="R330" s="108">
        <f t="shared" si="80"/>
        <v>0</v>
      </c>
      <c r="S330" s="108">
        <f t="shared" si="72"/>
        <v>0</v>
      </c>
      <c r="T330" s="108">
        <f t="shared" si="73"/>
        <v>1</v>
      </c>
      <c r="U330" s="108">
        <f t="shared" si="81"/>
        <v>87</v>
      </c>
      <c r="V330" s="108">
        <f t="shared" si="74"/>
        <v>87</v>
      </c>
    </row>
    <row r="331" spans="1:23" ht="57" x14ac:dyDescent="0.2">
      <c r="A331" s="4" t="str">
        <f>Questions!$A331</f>
        <v>AILM-04</v>
      </c>
      <c r="B331" s="4" t="str">
        <f t="shared" si="75"/>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Evaluation'!$A$56:$K$346,3,0)&amp;""</f>
        <v/>
      </c>
      <c r="G331" s="4" t="str">
        <f>VLOOKUP($A331,'Institution Evaluation'!$A$56:$K$346,7,0)&amp;""</f>
        <v>Yes</v>
      </c>
      <c r="H331" s="4" t="str">
        <f>VLOOKUP($A331,'Institution Evaluation'!$A$56:$K$346,8,0)&amp;""</f>
        <v/>
      </c>
      <c r="I331" s="4" t="str">
        <f>VLOOKUP($A331,'Institution Evaluation'!$A$56:$K$346,9,0)&amp;""</f>
        <v>Critical Importance</v>
      </c>
      <c r="J331" s="4" t="str">
        <f>VLOOKUP($A331,'Institution Evaluation'!$A$56:$K$346,10,0)&amp;""</f>
        <v/>
      </c>
      <c r="K331" s="4">
        <f t="shared" si="76"/>
        <v>20</v>
      </c>
      <c r="L331" s="108">
        <f>IF($E331="Not Scored", "N/A",IF(AND($D331='Auto Responses'!$J$27,$H331=""),"N/A",IF(AND($D331='Auto Responses'!$J$27,$H331='Auto Responses'!$J$7),1,IF(AND($D331='Auto Responses'!$J$27,$H331='Auto Responses'!$J$8),0,IF(OR($F331=$G331,$H331='Auto Responses'!$J$7),1,0)))))</f>
        <v>0</v>
      </c>
      <c r="M331" s="4" t="str">
        <f>VLOOKUP($A331,'Institution Evaluation'!$A$56:$K$346,10,0)&amp;""</f>
        <v/>
      </c>
      <c r="N331" s="4">
        <f t="shared" si="77"/>
        <v>1</v>
      </c>
      <c r="O331" s="108" t="str">
        <f t="shared" si="82"/>
        <v>N/A</v>
      </c>
      <c r="P331" s="108" t="str">
        <f t="shared" si="78"/>
        <v>N/A</v>
      </c>
      <c r="Q331" s="108">
        <f t="shared" si="71"/>
        <v>0</v>
      </c>
      <c r="R331" s="108">
        <f t="shared" si="80"/>
        <v>0</v>
      </c>
      <c r="S331" s="108">
        <f t="shared" si="72"/>
        <v>0</v>
      </c>
      <c r="T331" s="108">
        <f t="shared" si="73"/>
        <v>1</v>
      </c>
      <c r="U331" s="108">
        <f t="shared" si="81"/>
        <v>88</v>
      </c>
      <c r="V331" s="108">
        <f t="shared" si="74"/>
        <v>88</v>
      </c>
    </row>
    <row r="332" spans="1:23" ht="57" x14ac:dyDescent="0.2">
      <c r="A332" s="4" t="str">
        <f>Questions!$A332</f>
        <v>AILM-05</v>
      </c>
      <c r="B332" s="4" t="str">
        <f t="shared" si="75"/>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Evaluation'!$A$56:$K$346,3,0)&amp;""</f>
        <v/>
      </c>
      <c r="G332" s="4" t="str">
        <f>VLOOKUP($A332,'Institution Evaluation'!$A$56:$K$346,7,0)&amp;""</f>
        <v>Yes</v>
      </c>
      <c r="H332" s="4" t="str">
        <f>VLOOKUP($A332,'Institution Evaluation'!$A$56:$K$346,8,0)&amp;""</f>
        <v/>
      </c>
      <c r="I332" s="4" t="str">
        <f>VLOOKUP($A332,'Institution Evaluation'!$A$56:$K$346,9,0)&amp;""</f>
        <v>Standard Importance</v>
      </c>
      <c r="J332" s="4" t="str">
        <f>VLOOKUP($A332,'Institution Evaluation'!$A$56:$K$346,10,0)&amp;""</f>
        <v/>
      </c>
      <c r="K332" s="4">
        <f t="shared" si="76"/>
        <v>10</v>
      </c>
      <c r="L332" s="108">
        <f>IF($E332="Not Scored", "N/A",IF(AND($D332='Auto Responses'!$J$27,$H332=""),"N/A",IF(AND($D332='Auto Responses'!$J$27,$H332='Auto Responses'!$J$7),1,IF(AND($D332='Auto Responses'!$J$27,$H332='Auto Responses'!$J$8),0,IF(OR($F332=$G332,$H332='Auto Responses'!$J$7),1,0)))))</f>
        <v>0</v>
      </c>
      <c r="M332" s="4" t="str">
        <f>VLOOKUP($A332,'Institution Evaluation'!$A$56:$K$346,10,0)&amp;""</f>
        <v/>
      </c>
      <c r="N332" s="4">
        <f t="shared" si="77"/>
        <v>0</v>
      </c>
      <c r="O332" s="108" t="str">
        <f t="shared" si="82"/>
        <v>N/A</v>
      </c>
      <c r="P332" s="108" t="str">
        <f t="shared" si="78"/>
        <v>N/A</v>
      </c>
      <c r="Q332" s="108">
        <f t="shared" si="71"/>
        <v>0</v>
      </c>
      <c r="R332" s="108">
        <f t="shared" si="80"/>
        <v>0</v>
      </c>
      <c r="S332" s="108">
        <f t="shared" si="72"/>
        <v>0</v>
      </c>
      <c r="T332" s="108">
        <f t="shared" si="73"/>
        <v>0</v>
      </c>
      <c r="U332" s="108">
        <f t="shared" si="81"/>
        <v>88</v>
      </c>
      <c r="V332" s="108">
        <f t="shared" si="74"/>
        <v>0</v>
      </c>
    </row>
    <row r="333" spans="1:23" ht="36" customHeight="1" x14ac:dyDescent="0.2">
      <c r="A333" s="4" t="str">
        <f>Questions!$A333</f>
        <v>AILM-06</v>
      </c>
      <c r="B333" s="4" t="str">
        <f t="shared" si="75"/>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Evaluation'!$A$56:$K$346,3,0)&amp;""</f>
        <v/>
      </c>
      <c r="G333" s="4" t="str">
        <f>VLOOKUP($A333,'Institution Evaluation'!$A$56:$K$346,7,0)&amp;""</f>
        <v>Yes</v>
      </c>
      <c r="H333" s="4" t="str">
        <f>VLOOKUP($A333,'Institution Evaluation'!$A$56:$K$346,8,0)&amp;""</f>
        <v/>
      </c>
      <c r="I333" s="4" t="str">
        <f>VLOOKUP($A333,'Institution Evaluation'!$A$56:$K$346,9,0)&amp;""</f>
        <v>Standard Importance</v>
      </c>
      <c r="J333" s="4" t="str">
        <f>VLOOKUP($A333,'Institution Evaluation'!$A$56:$K$346,10,0)&amp;""</f>
        <v/>
      </c>
      <c r="K333" s="4">
        <f t="shared" si="76"/>
        <v>10</v>
      </c>
      <c r="L333" s="108">
        <f>IF($E333="Not Scored", "N/A",IF(AND($D333='Auto Responses'!$J$27,$H333=""),"N/A",IF(AND($D333='Auto Responses'!$J$27,$H333='Auto Responses'!$J$7),1,IF(AND($D333='Auto Responses'!$J$27,$H333='Auto Responses'!$J$8),0,IF(OR($F333=$G333,$H333='Auto Responses'!$J$7),1,0)))))</f>
        <v>0</v>
      </c>
      <c r="M333" s="4" t="str">
        <f>VLOOKUP($A333,'Institution Evaluation'!$A$56:$K$346,10,0)&amp;""</f>
        <v/>
      </c>
      <c r="N333" s="4">
        <f t="shared" si="77"/>
        <v>0</v>
      </c>
      <c r="O333" s="108" t="str">
        <f t="shared" si="82"/>
        <v>N/A</v>
      </c>
      <c r="P333" s="108" t="str">
        <f t="shared" si="78"/>
        <v>N/A</v>
      </c>
      <c r="Q333" s="108">
        <f t="shared" si="71"/>
        <v>0</v>
      </c>
      <c r="R333" s="108">
        <f t="shared" si="80"/>
        <v>0</v>
      </c>
      <c r="S333" s="108">
        <f t="shared" si="72"/>
        <v>0</v>
      </c>
      <c r="T333" s="108">
        <f t="shared" si="73"/>
        <v>0</v>
      </c>
      <c r="U333" s="108">
        <f t="shared" si="81"/>
        <v>88</v>
      </c>
      <c r="V333" s="108">
        <f t="shared" si="74"/>
        <v>0</v>
      </c>
      <c r="W333" s="240" t="s">
        <v>1505</v>
      </c>
    </row>
    <row r="334" spans="1:23" ht="15.75" thickBot="1" x14ac:dyDescent="0.25">
      <c r="A334" s="3"/>
      <c r="B334" s="3"/>
      <c r="C334" s="3"/>
      <c r="D334" s="3"/>
      <c r="E334" s="3"/>
      <c r="F334" s="3"/>
      <c r="G334" s="3"/>
      <c r="H334" s="3"/>
      <c r="I334" s="3"/>
      <c r="J334" s="3"/>
      <c r="K334" s="3"/>
    </row>
    <row r="335" spans="1:23" ht="15.75" thickBot="1" x14ac:dyDescent="0.25">
      <c r="A335" s="3"/>
      <c r="B335" s="3"/>
      <c r="C335" s="3"/>
      <c r="D335" s="3"/>
      <c r="E335" s="3"/>
      <c r="F335" s="3"/>
      <c r="G335" s="3"/>
      <c r="H335" s="3"/>
      <c r="I335" s="3"/>
      <c r="J335" s="3"/>
      <c r="K335" s="3"/>
      <c r="Q335" s="161">
        <f>SUM($Q3:$Q334)</f>
        <v>0</v>
      </c>
      <c r="R335" s="162"/>
      <c r="S335" s="162"/>
      <c r="T335" s="163">
        <f>SUM($T3:$T334)</f>
        <v>88</v>
      </c>
    </row>
    <row r="336" spans="1:23" x14ac:dyDescent="0.2">
      <c r="A336" s="240" t="s">
        <v>1513</v>
      </c>
      <c r="B336" s="3"/>
      <c r="C336" s="3"/>
      <c r="D336" s="3"/>
      <c r="E336" s="3"/>
      <c r="F336" s="3"/>
      <c r="G336" s="3"/>
      <c r="H336" s="3"/>
      <c r="I336" s="3"/>
      <c r="J336" s="3"/>
      <c r="K336" s="3"/>
    </row>
    <row r="337" spans="1:11" hidden="1" x14ac:dyDescent="0.2">
      <c r="A337" s="3"/>
      <c r="B337" s="3"/>
      <c r="C337" s="3"/>
      <c r="D337" s="3"/>
      <c r="E337" s="3"/>
      <c r="F337" s="3"/>
      <c r="G337" s="3"/>
      <c r="H337" s="3"/>
      <c r="I337" s="3"/>
      <c r="J337" s="3"/>
      <c r="K337" s="3"/>
    </row>
    <row r="338" spans="1:11" hidden="1" x14ac:dyDescent="0.2">
      <c r="A338" s="3"/>
      <c r="B338" s="3"/>
      <c r="C338" s="3"/>
      <c r="D338" s="3"/>
      <c r="E338" s="3"/>
      <c r="F338" s="3"/>
      <c r="G338" s="3"/>
      <c r="H338" s="3"/>
      <c r="I338" s="3"/>
      <c r="J338" s="3"/>
      <c r="K338" s="3"/>
    </row>
    <row r="339" spans="1:11" hidden="1" x14ac:dyDescent="0.2">
      <c r="A339" s="3"/>
      <c r="B339" s="3"/>
      <c r="C339" s="3"/>
      <c r="D339" s="3"/>
      <c r="E339" s="3"/>
      <c r="F339" s="3"/>
      <c r="G339" s="3"/>
      <c r="H339" s="3"/>
      <c r="I339" s="3"/>
      <c r="J339" s="3"/>
      <c r="K339" s="3"/>
    </row>
    <row r="340" spans="1:11" hidden="1" x14ac:dyDescent="0.2">
      <c r="A340" s="3"/>
      <c r="B340" s="3"/>
      <c r="C340" s="3"/>
      <c r="D340" s="3"/>
      <c r="E340" s="3"/>
      <c r="F340" s="3"/>
      <c r="G340" s="3"/>
      <c r="H340" s="3"/>
      <c r="I340" s="3"/>
      <c r="J340" s="3"/>
      <c r="K340" s="3"/>
    </row>
    <row r="341" spans="1:11" hidden="1" x14ac:dyDescent="0.2">
      <c r="A341" s="3"/>
      <c r="B341" s="3"/>
      <c r="C341" s="3"/>
      <c r="D341" s="3"/>
      <c r="E341" s="3"/>
      <c r="F341" s="3"/>
      <c r="G341" s="3"/>
      <c r="H341" s="3"/>
      <c r="I341" s="3"/>
      <c r="J341" s="3"/>
      <c r="K341" s="3"/>
    </row>
    <row r="342" spans="1:11" hidden="1" x14ac:dyDescent="0.2">
      <c r="A342" s="3"/>
      <c r="B342" s="3"/>
      <c r="C342" s="3"/>
      <c r="D342" s="3"/>
      <c r="E342" s="3"/>
      <c r="F342" s="3"/>
      <c r="G342" s="3"/>
      <c r="H342" s="3"/>
      <c r="I342" s="3"/>
      <c r="J342" s="3"/>
      <c r="K342" s="3"/>
    </row>
    <row r="343" spans="1:11" hidden="1" x14ac:dyDescent="0.2">
      <c r="A343" s="3"/>
      <c r="B343" s="3"/>
      <c r="C343" s="3"/>
      <c r="D343" s="3"/>
      <c r="E343" s="3"/>
      <c r="F343" s="3"/>
      <c r="G343" s="3"/>
      <c r="H343" s="3"/>
      <c r="I343" s="3"/>
      <c r="J343" s="3"/>
      <c r="K343" s="3"/>
    </row>
    <row r="344" spans="1:11" hidden="1" x14ac:dyDescent="0.2">
      <c r="A344" s="3"/>
      <c r="B344" s="3"/>
      <c r="C344" s="3"/>
      <c r="D344" s="3"/>
      <c r="E344" s="3"/>
      <c r="F344" s="3"/>
      <c r="G344" s="3"/>
      <c r="H344" s="3"/>
      <c r="I344" s="3"/>
      <c r="J344" s="3"/>
      <c r="K344" s="3"/>
    </row>
    <row r="345" spans="1:11" hidden="1" x14ac:dyDescent="0.2">
      <c r="A345" s="3"/>
      <c r="B345" s="3"/>
      <c r="C345" s="3"/>
      <c r="D345" s="3"/>
      <c r="E345" s="3"/>
      <c r="F345" s="3"/>
      <c r="G345" s="3"/>
      <c r="H345" s="3"/>
      <c r="I345" s="3"/>
      <c r="J345" s="3"/>
      <c r="K345" s="3"/>
    </row>
    <row r="346" spans="1:11" hidden="1" x14ac:dyDescent="0.2">
      <c r="A346" s="3"/>
      <c r="B346" s="3"/>
      <c r="C346" s="3"/>
      <c r="D346" s="3"/>
      <c r="E346" s="3"/>
      <c r="F346" s="3"/>
      <c r="G346" s="3"/>
      <c r="H346" s="3"/>
      <c r="I346" s="3"/>
      <c r="J346" s="3"/>
      <c r="K346" s="3"/>
    </row>
    <row r="347" spans="1:11" hidden="1" x14ac:dyDescent="0.2">
      <c r="A347" s="3"/>
      <c r="B347" s="3"/>
      <c r="C347" s="3"/>
      <c r="D347" s="3"/>
      <c r="E347" s="3"/>
      <c r="F347" s="3"/>
      <c r="G347" s="3"/>
      <c r="H347" s="3"/>
      <c r="I347" s="3"/>
      <c r="J347" s="3"/>
      <c r="K347" s="3"/>
    </row>
    <row r="348" spans="1:11" hidden="1" x14ac:dyDescent="0.2">
      <c r="A348" s="3"/>
      <c r="B348" s="3"/>
      <c r="C348" s="3"/>
      <c r="D348" s="3"/>
      <c r="E348" s="3"/>
      <c r="F348" s="3"/>
      <c r="G348" s="3"/>
      <c r="H348" s="3"/>
      <c r="I348" s="3"/>
      <c r="J348" s="3"/>
      <c r="K348" s="3"/>
    </row>
    <row r="349" spans="1:11" hidden="1" x14ac:dyDescent="0.2">
      <c r="A349" s="3"/>
      <c r="B349" s="3"/>
      <c r="C349" s="3"/>
      <c r="D349" s="3"/>
      <c r="E349" s="3"/>
      <c r="F349" s="3"/>
      <c r="G349" s="3"/>
      <c r="H349" s="3"/>
      <c r="I349" s="3"/>
      <c r="J349" s="3"/>
      <c r="K349" s="3"/>
    </row>
    <row r="350" spans="1:11" hidden="1" x14ac:dyDescent="0.2">
      <c r="A350" s="3"/>
      <c r="B350" s="3"/>
      <c r="C350" s="3"/>
      <c r="D350" s="3"/>
      <c r="E350" s="3"/>
      <c r="F350" s="3"/>
      <c r="G350" s="3"/>
      <c r="H350" s="3"/>
      <c r="I350" s="3"/>
      <c r="J350" s="3"/>
      <c r="K350" s="3"/>
    </row>
    <row r="351" spans="1:11" hidden="1" x14ac:dyDescent="0.2">
      <c r="A351" s="3"/>
      <c r="B351" s="3"/>
      <c r="C351" s="3"/>
      <c r="D351" s="3"/>
      <c r="E351" s="3"/>
      <c r="F351" s="3"/>
      <c r="G351" s="3"/>
      <c r="H351" s="3"/>
      <c r="I351" s="3"/>
      <c r="J351" s="3"/>
      <c r="K351" s="3"/>
    </row>
    <row r="352" spans="1:11" hidden="1" x14ac:dyDescent="0.2">
      <c r="A352" s="3"/>
      <c r="B352" s="3"/>
      <c r="C352" s="3"/>
      <c r="D352" s="3"/>
      <c r="E352" s="3"/>
      <c r="F352" s="3"/>
      <c r="G352" s="3"/>
      <c r="H352" s="3"/>
      <c r="I352" s="3"/>
      <c r="J352" s="3"/>
      <c r="K352" s="3"/>
    </row>
    <row r="353" spans="1:11" hidden="1" x14ac:dyDescent="0.2">
      <c r="A353" s="3"/>
      <c r="B353" s="3"/>
      <c r="C353" s="3"/>
      <c r="D353" s="3"/>
      <c r="E353" s="3"/>
      <c r="F353" s="3"/>
      <c r="G353" s="3"/>
      <c r="H353" s="3"/>
      <c r="I353" s="3"/>
      <c r="J353" s="3"/>
      <c r="K353" s="3"/>
    </row>
    <row r="354" spans="1:11" hidden="1" x14ac:dyDescent="0.2">
      <c r="A354" s="3"/>
      <c r="B354" s="3"/>
      <c r="C354" s="3"/>
      <c r="D354" s="3"/>
      <c r="E354" s="3"/>
      <c r="F354" s="3"/>
      <c r="G354" s="3"/>
      <c r="H354" s="3"/>
      <c r="I354" s="3"/>
      <c r="J354" s="3"/>
      <c r="K354" s="3"/>
    </row>
    <row r="355" spans="1:11" hidden="1" x14ac:dyDescent="0.2">
      <c r="A355" s="3"/>
      <c r="B355" s="3"/>
      <c r="C355" s="3"/>
      <c r="D355" s="3"/>
      <c r="E355" s="3"/>
      <c r="F355" s="3"/>
      <c r="G355" s="3"/>
      <c r="H355" s="3"/>
      <c r="I355" s="3"/>
      <c r="J355" s="3"/>
      <c r="K355" s="3"/>
    </row>
    <row r="356" spans="1:11" hidden="1" x14ac:dyDescent="0.2">
      <c r="A356" s="3"/>
      <c r="B356" s="3"/>
      <c r="C356" s="3"/>
      <c r="D356" s="3"/>
      <c r="E356" s="3"/>
      <c r="F356" s="3"/>
      <c r="G356" s="3"/>
      <c r="H356" s="3"/>
      <c r="I356" s="3"/>
      <c r="J356" s="3"/>
      <c r="K356" s="3"/>
    </row>
    <row r="357" spans="1:11" hidden="1" x14ac:dyDescent="0.2">
      <c r="A357" s="3"/>
      <c r="B357" s="3"/>
      <c r="C357" s="3"/>
      <c r="D357" s="3"/>
      <c r="E357" s="3"/>
      <c r="F357" s="3"/>
      <c r="G357" s="3"/>
      <c r="H357" s="3"/>
      <c r="I357" s="3"/>
      <c r="J357" s="3"/>
      <c r="K357" s="3"/>
    </row>
    <row r="358" spans="1:11" hidden="1" x14ac:dyDescent="0.2">
      <c r="A358" s="3"/>
      <c r="B358" s="3"/>
      <c r="C358" s="3"/>
      <c r="D358" s="3"/>
      <c r="E358" s="3"/>
      <c r="F358" s="3"/>
      <c r="G358" s="3"/>
      <c r="H358" s="3"/>
      <c r="I358" s="3"/>
      <c r="J358" s="3"/>
      <c r="K358" s="3"/>
    </row>
    <row r="359" spans="1:11" hidden="1" x14ac:dyDescent="0.2">
      <c r="A359" s="3"/>
      <c r="B359" s="3"/>
      <c r="C359" s="3"/>
      <c r="D359" s="3"/>
      <c r="E359" s="3"/>
      <c r="F359" s="3"/>
      <c r="G359" s="3"/>
      <c r="H359" s="3"/>
      <c r="I359" s="3"/>
      <c r="J359" s="3"/>
      <c r="K359" s="3"/>
    </row>
    <row r="360" spans="1:11" hidden="1" x14ac:dyDescent="0.2">
      <c r="A360" s="3"/>
      <c r="B360" s="3"/>
      <c r="C360" s="3"/>
      <c r="D360" s="3"/>
      <c r="E360" s="3"/>
      <c r="F360" s="3"/>
      <c r="G360" s="3"/>
      <c r="H360" s="3"/>
      <c r="I360" s="3"/>
      <c r="J360" s="3"/>
      <c r="K360" s="3"/>
    </row>
    <row r="361" spans="1:11" hidden="1" x14ac:dyDescent="0.2">
      <c r="A361" s="3"/>
      <c r="B361" s="3"/>
      <c r="C361" s="3"/>
      <c r="D361" s="3"/>
      <c r="E361" s="3"/>
      <c r="F361" s="3"/>
      <c r="G361" s="3"/>
      <c r="H361" s="3"/>
      <c r="I361" s="3"/>
      <c r="J361" s="3"/>
      <c r="K361" s="3"/>
    </row>
    <row r="362" spans="1:11" hidden="1" x14ac:dyDescent="0.2">
      <c r="A362" s="3"/>
      <c r="B362" s="3"/>
      <c r="C362" s="3"/>
      <c r="D362" s="3"/>
      <c r="E362" s="3"/>
      <c r="F362" s="3"/>
      <c r="G362" s="3"/>
      <c r="H362" s="3"/>
      <c r="I362" s="3"/>
      <c r="J362" s="3"/>
      <c r="K362" s="3"/>
    </row>
    <row r="363" spans="1:11" hidden="1" x14ac:dyDescent="0.2">
      <c r="A363" s="3"/>
      <c r="B363" s="3"/>
      <c r="C363" s="3"/>
      <c r="D363" s="3"/>
      <c r="E363" s="3"/>
      <c r="F363" s="3"/>
      <c r="G363" s="3"/>
      <c r="H363" s="3"/>
      <c r="I363" s="3"/>
      <c r="J363" s="3"/>
      <c r="K363" s="3"/>
    </row>
    <row r="364" spans="1:11" hidden="1" x14ac:dyDescent="0.2">
      <c r="A364" s="3"/>
      <c r="B364" s="3"/>
      <c r="C364" s="3"/>
      <c r="D364" s="3"/>
      <c r="E364" s="3"/>
      <c r="F364" s="3"/>
      <c r="G364" s="3"/>
      <c r="H364" s="3"/>
      <c r="I364" s="3"/>
      <c r="J364" s="3"/>
      <c r="K364" s="3"/>
    </row>
    <row r="365" spans="1:11" hidden="1" x14ac:dyDescent="0.2">
      <c r="A365" s="3"/>
      <c r="B365" s="3"/>
      <c r="C365" s="3"/>
      <c r="D365" s="3"/>
      <c r="E365" s="3"/>
      <c r="F365" s="3"/>
      <c r="G365" s="3"/>
      <c r="H365" s="3"/>
      <c r="I365" s="3"/>
      <c r="J365" s="3"/>
      <c r="K365" s="3"/>
    </row>
    <row r="366" spans="1:11" hidden="1" x14ac:dyDescent="0.2">
      <c r="A366" s="3"/>
      <c r="B366" s="3"/>
      <c r="C366" s="3"/>
      <c r="D366" s="3"/>
      <c r="E366" s="3"/>
      <c r="F366" s="3"/>
      <c r="G366" s="3"/>
      <c r="H366" s="3"/>
      <c r="I366" s="3"/>
      <c r="J366" s="3"/>
      <c r="K366" s="3"/>
    </row>
    <row r="367" spans="1:11" hidden="1" x14ac:dyDescent="0.2">
      <c r="A367" s="3"/>
      <c r="B367" s="3"/>
      <c r="C367" s="3"/>
      <c r="D367" s="3"/>
      <c r="E367" s="3"/>
      <c r="F367" s="3"/>
      <c r="G367" s="3"/>
      <c r="H367" s="3"/>
      <c r="I367" s="3"/>
      <c r="J367" s="3"/>
      <c r="K367" s="3"/>
    </row>
    <row r="368" spans="1:11" hidden="1" x14ac:dyDescent="0.2">
      <c r="A368" s="3"/>
      <c r="B368" s="3"/>
      <c r="C368" s="3"/>
      <c r="D368" s="3"/>
      <c r="E368" s="3"/>
      <c r="F368" s="3"/>
      <c r="G368" s="3"/>
      <c r="H368" s="3"/>
      <c r="I368" s="3"/>
      <c r="J368" s="3"/>
      <c r="K368" s="3"/>
    </row>
    <row r="369" spans="1:11" hidden="1" x14ac:dyDescent="0.2">
      <c r="A369" s="3"/>
      <c r="B369" s="3"/>
      <c r="C369" s="3"/>
      <c r="D369" s="3"/>
      <c r="E369" s="3"/>
      <c r="F369" s="3"/>
      <c r="G369" s="3"/>
      <c r="H369" s="3"/>
      <c r="I369" s="3"/>
      <c r="J369" s="3"/>
      <c r="K369" s="3"/>
    </row>
    <row r="370" spans="1:11" hidden="1" x14ac:dyDescent="0.2">
      <c r="A370" s="3"/>
      <c r="B370" s="3"/>
      <c r="C370" s="3"/>
      <c r="D370" s="3"/>
      <c r="E370" s="3"/>
      <c r="F370" s="3"/>
      <c r="G370" s="3"/>
      <c r="H370" s="3"/>
      <c r="I370" s="3"/>
      <c r="J370" s="3"/>
      <c r="K370" s="3"/>
    </row>
    <row r="371" spans="1:11" hidden="1" x14ac:dyDescent="0.2">
      <c r="A371" s="3"/>
      <c r="B371" s="3"/>
      <c r="C371" s="3"/>
      <c r="D371" s="3"/>
      <c r="E371" s="3"/>
      <c r="F371" s="3"/>
      <c r="G371" s="3"/>
      <c r="H371" s="3"/>
      <c r="I371" s="3"/>
      <c r="J371" s="3"/>
      <c r="K371" s="3"/>
    </row>
    <row r="372" spans="1:11" hidden="1" x14ac:dyDescent="0.2">
      <c r="A372" s="3"/>
      <c r="B372" s="3"/>
      <c r="C372" s="3"/>
      <c r="D372" s="3"/>
      <c r="E372" s="3"/>
      <c r="F372" s="3"/>
      <c r="G372" s="3"/>
      <c r="H372" s="3"/>
      <c r="I372" s="3"/>
      <c r="J372" s="3"/>
      <c r="K372" s="3"/>
    </row>
    <row r="373" spans="1:11" hidden="1" x14ac:dyDescent="0.2">
      <c r="A373" s="3"/>
      <c r="B373" s="3"/>
      <c r="C373" s="3"/>
      <c r="D373" s="3"/>
      <c r="E373" s="3"/>
      <c r="F373" s="3"/>
      <c r="G373" s="3"/>
      <c r="H373" s="3"/>
      <c r="I373" s="3"/>
      <c r="J373" s="3"/>
      <c r="K373" s="3"/>
    </row>
    <row r="374" spans="1:11" hidden="1" x14ac:dyDescent="0.2">
      <c r="A374" s="3"/>
      <c r="B374" s="3"/>
      <c r="C374" s="3"/>
      <c r="D374" s="3"/>
      <c r="E374" s="3"/>
      <c r="F374" s="3"/>
      <c r="G374" s="3"/>
      <c r="H374" s="3"/>
      <c r="I374" s="3"/>
      <c r="J374" s="3"/>
      <c r="K374" s="3"/>
    </row>
    <row r="375" spans="1:11" hidden="1" x14ac:dyDescent="0.2">
      <c r="A375" s="3"/>
      <c r="B375" s="3"/>
      <c r="C375" s="3"/>
      <c r="D375" s="3"/>
      <c r="E375" s="3"/>
      <c r="F375" s="3"/>
      <c r="G375" s="3"/>
      <c r="H375" s="3"/>
      <c r="I375" s="3"/>
      <c r="J375" s="3"/>
      <c r="K375" s="3"/>
    </row>
    <row r="376" spans="1:11" hidden="1" x14ac:dyDescent="0.2">
      <c r="A376" s="3"/>
      <c r="B376" s="3"/>
      <c r="C376" s="3"/>
      <c r="D376" s="3"/>
      <c r="E376" s="3"/>
      <c r="F376" s="3"/>
      <c r="G376" s="3"/>
      <c r="H376" s="3"/>
      <c r="I376" s="3"/>
      <c r="J376" s="3"/>
      <c r="K376" s="3"/>
    </row>
    <row r="377" spans="1:11" hidden="1" x14ac:dyDescent="0.2">
      <c r="A377" s="3"/>
      <c r="B377" s="3"/>
      <c r="C377" s="3"/>
      <c r="D377" s="3"/>
      <c r="E377" s="3"/>
      <c r="F377" s="3"/>
      <c r="G377" s="3"/>
      <c r="H377" s="3"/>
      <c r="I377" s="3"/>
      <c r="J377" s="3"/>
      <c r="K377" s="3"/>
    </row>
    <row r="378" spans="1:11" hidden="1" x14ac:dyDescent="0.2">
      <c r="A378" s="3"/>
      <c r="B378" s="3"/>
      <c r="C378" s="3"/>
      <c r="D378" s="3"/>
      <c r="E378" s="3"/>
      <c r="F378" s="3"/>
      <c r="G378" s="3"/>
      <c r="H378" s="3"/>
      <c r="I378" s="3"/>
      <c r="J378" s="3"/>
      <c r="K378" s="3"/>
    </row>
    <row r="379" spans="1:11" hidden="1" x14ac:dyDescent="0.2">
      <c r="A379" s="3"/>
      <c r="B379" s="3"/>
      <c r="C379" s="3"/>
      <c r="D379" s="3"/>
      <c r="E379" s="3"/>
      <c r="F379" s="3"/>
      <c r="G379" s="3"/>
      <c r="H379" s="3"/>
      <c r="I379" s="3"/>
      <c r="J379" s="3"/>
      <c r="K379" s="3"/>
    </row>
    <row r="380" spans="1:11" hidden="1" x14ac:dyDescent="0.2">
      <c r="A380" s="3"/>
      <c r="B380" s="3"/>
      <c r="C380" s="3"/>
      <c r="D380" s="3"/>
      <c r="E380" s="3"/>
      <c r="F380" s="3"/>
      <c r="G380" s="3"/>
      <c r="H380" s="3"/>
      <c r="I380" s="3"/>
      <c r="J380" s="3"/>
      <c r="K380" s="3"/>
    </row>
    <row r="381" spans="1:11" hidden="1" x14ac:dyDescent="0.2">
      <c r="A381" s="3"/>
      <c r="B381" s="3"/>
      <c r="C381" s="3"/>
      <c r="D381" s="3"/>
      <c r="E381" s="3"/>
      <c r="F381" s="3"/>
      <c r="G381" s="3"/>
      <c r="H381" s="3"/>
      <c r="I381" s="3"/>
      <c r="J381" s="3"/>
      <c r="K381" s="3"/>
    </row>
    <row r="382" spans="1:11" hidden="1" x14ac:dyDescent="0.2">
      <c r="A382" s="3"/>
      <c r="B382" s="3"/>
      <c r="C382" s="3"/>
      <c r="D382" s="3"/>
      <c r="E382" s="3"/>
      <c r="F382" s="3"/>
      <c r="G382" s="3"/>
      <c r="H382" s="3"/>
      <c r="I382" s="3"/>
      <c r="J382" s="3"/>
      <c r="K382" s="3"/>
    </row>
    <row r="383" spans="1:11" hidden="1" x14ac:dyDescent="0.2">
      <c r="A383" s="3"/>
      <c r="B383" s="3"/>
      <c r="C383" s="3"/>
      <c r="D383" s="3"/>
      <c r="E383" s="3"/>
      <c r="F383" s="3"/>
      <c r="G383" s="3"/>
      <c r="H383" s="3"/>
      <c r="I383" s="3"/>
      <c r="J383" s="3"/>
      <c r="K383" s="3"/>
    </row>
    <row r="384" spans="1:11" hidden="1" x14ac:dyDescent="0.2">
      <c r="A384" s="3"/>
      <c r="B384" s="3"/>
      <c r="C384" s="3"/>
      <c r="D384" s="3"/>
      <c r="E384" s="3"/>
      <c r="F384" s="3"/>
      <c r="G384" s="3"/>
      <c r="H384" s="3"/>
      <c r="I384" s="3"/>
      <c r="J384" s="3"/>
      <c r="K384" s="3"/>
    </row>
    <row r="385" spans="1:11" hidden="1" x14ac:dyDescent="0.2">
      <c r="A385" s="3"/>
      <c r="B385" s="3"/>
      <c r="C385" s="3"/>
      <c r="D385" s="3"/>
      <c r="E385" s="3"/>
      <c r="F385" s="3"/>
      <c r="G385" s="3"/>
      <c r="H385" s="3"/>
      <c r="I385" s="3"/>
      <c r="J385" s="3"/>
      <c r="K385" s="3"/>
    </row>
    <row r="386" spans="1:11" hidden="1" x14ac:dyDescent="0.2">
      <c r="A386" s="3"/>
      <c r="B386" s="3"/>
      <c r="C386" s="3"/>
      <c r="D386" s="3"/>
      <c r="E386" s="3"/>
      <c r="F386" s="3"/>
      <c r="G386" s="3"/>
      <c r="H386" s="3"/>
      <c r="I386" s="3"/>
      <c r="J386" s="3"/>
      <c r="K386" s="3"/>
    </row>
    <row r="387" spans="1:11" hidden="1" x14ac:dyDescent="0.2">
      <c r="A387" s="3"/>
      <c r="B387" s="3"/>
      <c r="C387" s="3"/>
      <c r="D387" s="3"/>
      <c r="E387" s="3"/>
      <c r="F387" s="3"/>
      <c r="G387" s="3"/>
      <c r="H387" s="3"/>
      <c r="I387" s="3"/>
      <c r="J387" s="3"/>
      <c r="K387" s="3"/>
    </row>
    <row r="388" spans="1:11" hidden="1" x14ac:dyDescent="0.2">
      <c r="A388" s="3"/>
      <c r="B388" s="3"/>
      <c r="C388" s="3"/>
      <c r="D388" s="3"/>
      <c r="E388" s="3"/>
      <c r="F388" s="3"/>
      <c r="G388" s="3"/>
      <c r="H388" s="3"/>
      <c r="I388" s="3"/>
      <c r="J388" s="3"/>
      <c r="K388" s="3"/>
    </row>
    <row r="389" spans="1:11" hidden="1" x14ac:dyDescent="0.2">
      <c r="A389" s="3"/>
      <c r="B389" s="3"/>
      <c r="C389" s="3"/>
      <c r="D389" s="3"/>
      <c r="E389" s="3"/>
      <c r="F389" s="3"/>
      <c r="G389" s="3"/>
      <c r="H389" s="3"/>
      <c r="I389" s="3"/>
      <c r="J389" s="3"/>
      <c r="K389" s="3"/>
    </row>
    <row r="390" spans="1:11" hidden="1" x14ac:dyDescent="0.2">
      <c r="A390" s="3"/>
      <c r="B390" s="3"/>
      <c r="C390" s="3"/>
      <c r="D390" s="3"/>
      <c r="E390" s="3"/>
      <c r="F390" s="3"/>
      <c r="G390" s="3"/>
      <c r="H390" s="3"/>
      <c r="I390" s="3"/>
      <c r="J390" s="3"/>
      <c r="K390" s="3"/>
    </row>
    <row r="391" spans="1:11" hidden="1" x14ac:dyDescent="0.2">
      <c r="A391" s="3"/>
      <c r="B391" s="3"/>
      <c r="C391" s="3"/>
      <c r="D391" s="3"/>
      <c r="E391" s="3"/>
      <c r="F391" s="3"/>
      <c r="G391" s="3"/>
      <c r="H391" s="3"/>
      <c r="I391" s="3"/>
      <c r="J391" s="3"/>
      <c r="K391" s="3"/>
    </row>
    <row r="392" spans="1:11" hidden="1" x14ac:dyDescent="0.2">
      <c r="A392" s="3"/>
      <c r="B392" s="3"/>
      <c r="C392" s="3"/>
      <c r="D392" s="3"/>
      <c r="E392" s="3"/>
      <c r="F392" s="3"/>
      <c r="G392" s="3"/>
      <c r="H392" s="3"/>
      <c r="I392" s="3"/>
      <c r="J392" s="3"/>
      <c r="K392" s="3"/>
    </row>
    <row r="393" spans="1:11" hidden="1" x14ac:dyDescent="0.2">
      <c r="A393" s="3"/>
      <c r="B393" s="3"/>
      <c r="C393" s="3"/>
      <c r="D393" s="3"/>
      <c r="E393" s="3"/>
      <c r="F393" s="3"/>
      <c r="G393" s="3"/>
      <c r="H393" s="3"/>
      <c r="I393" s="3"/>
      <c r="J393" s="3"/>
      <c r="K393" s="3"/>
    </row>
    <row r="394" spans="1:11" hidden="1" x14ac:dyDescent="0.2">
      <c r="A394" s="3"/>
      <c r="B394" s="3"/>
      <c r="C394" s="3"/>
      <c r="D394" s="3"/>
      <c r="E394" s="3"/>
      <c r="F394" s="3"/>
      <c r="G394" s="3"/>
      <c r="H394" s="3"/>
      <c r="I394" s="3"/>
      <c r="J394" s="3"/>
      <c r="K394" s="3"/>
    </row>
    <row r="395" spans="1:11" hidden="1" x14ac:dyDescent="0.2">
      <c r="A395" s="3"/>
      <c r="B395" s="3"/>
      <c r="C395" s="3"/>
      <c r="D395" s="3"/>
      <c r="E395" s="3"/>
      <c r="F395" s="3"/>
      <c r="G395" s="3"/>
      <c r="H395" s="3"/>
      <c r="I395" s="3"/>
      <c r="J395" s="3"/>
      <c r="K395" s="3"/>
    </row>
    <row r="396" spans="1:11" hidden="1" x14ac:dyDescent="0.2">
      <c r="A396" s="3"/>
      <c r="B396" s="3"/>
      <c r="C396" s="3"/>
      <c r="D396" s="3"/>
      <c r="E396" s="3"/>
      <c r="F396" s="3"/>
      <c r="G396" s="3"/>
      <c r="H396" s="3"/>
      <c r="I396" s="3"/>
      <c r="J396" s="3"/>
      <c r="K396" s="3"/>
    </row>
    <row r="397" spans="1:11" hidden="1" x14ac:dyDescent="0.2">
      <c r="A397" s="3"/>
      <c r="B397" s="3"/>
      <c r="C397" s="3"/>
      <c r="D397" s="3"/>
      <c r="E397" s="3"/>
      <c r="F397" s="3"/>
      <c r="G397" s="3"/>
      <c r="H397" s="3"/>
      <c r="I397" s="3"/>
      <c r="J397" s="3"/>
      <c r="K397" s="3"/>
    </row>
    <row r="398" spans="1:11" hidden="1" x14ac:dyDescent="0.2">
      <c r="A398" s="3"/>
      <c r="B398" s="3"/>
      <c r="C398" s="3"/>
      <c r="D398" s="3"/>
      <c r="E398" s="3"/>
      <c r="F398" s="3"/>
      <c r="G398" s="3"/>
      <c r="H398" s="3"/>
      <c r="I398" s="3"/>
      <c r="J398" s="3"/>
      <c r="K398" s="3"/>
    </row>
    <row r="399" spans="1:11" hidden="1" x14ac:dyDescent="0.2">
      <c r="A399" s="3"/>
      <c r="B399" s="3"/>
      <c r="C399" s="3"/>
      <c r="D399" s="3"/>
      <c r="E399" s="3"/>
      <c r="F399" s="3"/>
      <c r="G399" s="3"/>
      <c r="H399" s="3"/>
      <c r="I399" s="3"/>
      <c r="J399" s="3"/>
      <c r="K399" s="3"/>
    </row>
    <row r="400" spans="1:11" hidden="1" x14ac:dyDescent="0.2">
      <c r="A400" s="3"/>
      <c r="B400" s="3"/>
      <c r="C400" s="3"/>
      <c r="D400" s="3"/>
      <c r="E400" s="3"/>
      <c r="F400" s="3"/>
      <c r="G400" s="3"/>
      <c r="H400" s="3"/>
      <c r="I400" s="3"/>
      <c r="J400" s="3"/>
      <c r="K400" s="3"/>
    </row>
    <row r="401" spans="1:11" hidden="1" x14ac:dyDescent="0.2">
      <c r="A401" s="3"/>
      <c r="B401" s="3"/>
      <c r="C401" s="3"/>
      <c r="D401" s="3"/>
      <c r="E401" s="3"/>
      <c r="F401" s="3"/>
      <c r="G401" s="3"/>
      <c r="H401" s="3"/>
      <c r="I401" s="3"/>
      <c r="J401" s="3"/>
      <c r="K401" s="3"/>
    </row>
    <row r="402" spans="1:11" hidden="1" x14ac:dyDescent="0.2">
      <c r="A402" s="3"/>
      <c r="B402" s="3"/>
      <c r="C402" s="3"/>
      <c r="D402" s="3"/>
      <c r="E402" s="3"/>
      <c r="F402" s="3"/>
      <c r="G402" s="3"/>
      <c r="H402" s="3"/>
      <c r="I402" s="3"/>
      <c r="J402" s="3"/>
      <c r="K402" s="3"/>
    </row>
    <row r="403" spans="1:11" hidden="1" x14ac:dyDescent="0.2">
      <c r="A403" s="3"/>
      <c r="B403" s="3"/>
      <c r="C403" s="3"/>
      <c r="D403" s="3"/>
      <c r="E403" s="3"/>
      <c r="F403" s="3"/>
      <c r="G403" s="3"/>
      <c r="H403" s="3"/>
      <c r="I403" s="3"/>
      <c r="J403" s="3"/>
      <c r="K403" s="3"/>
    </row>
    <row r="404" spans="1:11" hidden="1" x14ac:dyDescent="0.2">
      <c r="A404" s="3"/>
      <c r="B404" s="3"/>
      <c r="C404" s="3"/>
      <c r="D404" s="3"/>
      <c r="E404" s="3"/>
      <c r="F404" s="3"/>
      <c r="G404" s="3"/>
      <c r="H404" s="3"/>
      <c r="I404" s="3"/>
      <c r="J404" s="3"/>
      <c r="K404" s="3"/>
    </row>
    <row r="405" spans="1:11" hidden="1" x14ac:dyDescent="0.2">
      <c r="A405" s="3"/>
      <c r="B405" s="3"/>
      <c r="C405" s="3"/>
      <c r="D405" s="3"/>
      <c r="E405" s="3"/>
      <c r="F405" s="3"/>
      <c r="G405" s="3"/>
      <c r="H405" s="3"/>
      <c r="I405" s="3"/>
      <c r="J405" s="3"/>
      <c r="K405" s="3"/>
    </row>
    <row r="406" spans="1:11" hidden="1" x14ac:dyDescent="0.2">
      <c r="A406" s="3"/>
      <c r="B406" s="3"/>
      <c r="C406" s="3"/>
      <c r="D406" s="3"/>
      <c r="E406" s="3"/>
      <c r="F406" s="3"/>
      <c r="G406" s="3"/>
      <c r="H406" s="3"/>
      <c r="I406" s="3"/>
      <c r="J406" s="3"/>
      <c r="K406" s="3"/>
    </row>
    <row r="407" spans="1:11" hidden="1" x14ac:dyDescent="0.2">
      <c r="A407" s="3"/>
      <c r="B407" s="3"/>
      <c r="C407" s="3"/>
      <c r="D407" s="3"/>
      <c r="E407" s="3"/>
      <c r="F407" s="3"/>
      <c r="G407" s="3"/>
      <c r="H407" s="3"/>
      <c r="I407" s="3"/>
      <c r="J407" s="3"/>
      <c r="K407" s="3"/>
    </row>
    <row r="408" spans="1:11" hidden="1" x14ac:dyDescent="0.2">
      <c r="A408" s="3"/>
      <c r="B408" s="3"/>
      <c r="C408" s="3"/>
      <c r="D408" s="3"/>
      <c r="E408" s="3"/>
      <c r="F408" s="3"/>
      <c r="G408" s="3"/>
      <c r="H408" s="3"/>
      <c r="I408" s="3"/>
      <c r="J408" s="3"/>
      <c r="K408" s="3"/>
    </row>
    <row r="409" spans="1:11" hidden="1" x14ac:dyDescent="0.2">
      <c r="A409" s="3"/>
      <c r="B409" s="3"/>
      <c r="C409" s="3"/>
      <c r="D409" s="3"/>
      <c r="E409" s="3"/>
      <c r="F409" s="3"/>
      <c r="G409" s="3"/>
      <c r="H409" s="3"/>
      <c r="I409" s="3"/>
      <c r="J409" s="3"/>
      <c r="K409" s="3"/>
    </row>
    <row r="410" spans="1:11" hidden="1" x14ac:dyDescent="0.2">
      <c r="A410" s="3"/>
      <c r="B410" s="3"/>
      <c r="C410" s="3"/>
      <c r="D410" s="3"/>
      <c r="E410" s="3"/>
      <c r="F410" s="3"/>
      <c r="G410" s="3"/>
      <c r="H410" s="3"/>
      <c r="I410" s="3"/>
      <c r="J410" s="3"/>
      <c r="K410" s="3"/>
    </row>
    <row r="411" spans="1:11" hidden="1" x14ac:dyDescent="0.2">
      <c r="A411" s="3"/>
      <c r="B411" s="3"/>
      <c r="C411" s="3"/>
      <c r="D411" s="3"/>
      <c r="E411" s="3"/>
      <c r="F411" s="3"/>
      <c r="G411" s="3"/>
      <c r="H411" s="3"/>
      <c r="I411" s="3"/>
      <c r="J411" s="3"/>
      <c r="K411" s="3"/>
    </row>
    <row r="412" spans="1:11" hidden="1" x14ac:dyDescent="0.2">
      <c r="A412" s="3"/>
      <c r="B412" s="3"/>
      <c r="C412" s="3"/>
      <c r="D412" s="3"/>
      <c r="E412" s="3"/>
      <c r="F412" s="3"/>
      <c r="G412" s="3"/>
      <c r="H412" s="3"/>
      <c r="I412" s="3"/>
      <c r="J412" s="3"/>
      <c r="K412" s="3"/>
    </row>
    <row r="413" spans="1:11" hidden="1" x14ac:dyDescent="0.2">
      <c r="A413" s="3"/>
      <c r="B413" s="3"/>
      <c r="C413" s="3"/>
      <c r="D413" s="3"/>
      <c r="E413" s="3"/>
      <c r="F413" s="3"/>
      <c r="G413" s="3"/>
      <c r="H413" s="3"/>
      <c r="I413" s="3"/>
      <c r="J413" s="3"/>
      <c r="K413" s="3"/>
    </row>
    <row r="414" spans="1:11" hidden="1" x14ac:dyDescent="0.2">
      <c r="A414" s="3"/>
      <c r="B414" s="3"/>
      <c r="C414" s="3"/>
      <c r="D414" s="3"/>
      <c r="E414" s="3"/>
      <c r="F414" s="3"/>
      <c r="G414" s="3"/>
      <c r="H414" s="3"/>
      <c r="I414" s="3"/>
      <c r="J414" s="3"/>
      <c r="K414" s="3"/>
    </row>
    <row r="415" spans="1:11" hidden="1" x14ac:dyDescent="0.2">
      <c r="A415" s="3"/>
      <c r="B415" s="3"/>
      <c r="C415" s="3"/>
      <c r="D415" s="3"/>
      <c r="E415" s="3"/>
      <c r="F415" s="3"/>
      <c r="G415" s="3"/>
      <c r="H415" s="3"/>
      <c r="I415" s="3"/>
      <c r="J415" s="3"/>
      <c r="K415" s="3"/>
    </row>
    <row r="416" spans="1:11" hidden="1" x14ac:dyDescent="0.2">
      <c r="A416" s="3"/>
      <c r="B416" s="3"/>
      <c r="C416" s="3"/>
      <c r="D416" s="3"/>
      <c r="E416" s="3"/>
      <c r="F416" s="3"/>
      <c r="G416" s="3"/>
      <c r="H416" s="3"/>
      <c r="I416" s="3"/>
      <c r="J416" s="3"/>
      <c r="K416" s="3"/>
    </row>
    <row r="417" spans="1:11" hidden="1" x14ac:dyDescent="0.2">
      <c r="A417" s="3"/>
      <c r="B417" s="3"/>
      <c r="C417" s="3"/>
      <c r="D417" s="3"/>
      <c r="E417" s="3"/>
      <c r="F417" s="3"/>
      <c r="G417" s="3"/>
      <c r="H417" s="3"/>
      <c r="I417" s="3"/>
      <c r="J417" s="3"/>
      <c r="K417" s="3"/>
    </row>
    <row r="418" spans="1:11" hidden="1" x14ac:dyDescent="0.2">
      <c r="A418" s="3"/>
      <c r="B418" s="3"/>
      <c r="C418" s="3"/>
      <c r="D418" s="3"/>
      <c r="E418" s="3"/>
      <c r="F418" s="3"/>
      <c r="G418" s="3"/>
      <c r="H418" s="3"/>
      <c r="I418" s="3"/>
      <c r="J418" s="3"/>
      <c r="K418" s="3"/>
    </row>
    <row r="419" spans="1:11" hidden="1" x14ac:dyDescent="0.2">
      <c r="A419" s="3"/>
      <c r="B419" s="3"/>
      <c r="C419" s="3"/>
      <c r="D419" s="3"/>
      <c r="E419" s="3"/>
      <c r="F419" s="3"/>
      <c r="G419" s="3"/>
      <c r="H419" s="3"/>
      <c r="I419" s="3"/>
      <c r="J419" s="3"/>
      <c r="K419" s="3"/>
    </row>
    <row r="420" spans="1:11" hidden="1" x14ac:dyDescent="0.2">
      <c r="A420" s="3"/>
      <c r="B420" s="3"/>
      <c r="C420" s="3"/>
      <c r="D420" s="3"/>
      <c r="E420" s="3"/>
      <c r="F420" s="3"/>
      <c r="G420" s="3"/>
      <c r="H420" s="3"/>
      <c r="I420" s="3"/>
      <c r="J420" s="3"/>
      <c r="K420" s="3"/>
    </row>
    <row r="421" spans="1:11" hidden="1" x14ac:dyDescent="0.2">
      <c r="A421" s="3"/>
      <c r="B421" s="3"/>
      <c r="C421" s="3"/>
      <c r="D421" s="3"/>
      <c r="E421" s="3"/>
      <c r="F421" s="3"/>
      <c r="G421" s="3"/>
      <c r="H421" s="3"/>
      <c r="I421" s="3"/>
      <c r="J421" s="3"/>
      <c r="K421" s="3"/>
    </row>
    <row r="422" spans="1:11" hidden="1" x14ac:dyDescent="0.2">
      <c r="A422" s="3"/>
      <c r="B422" s="3"/>
      <c r="C422" s="3"/>
      <c r="D422" s="3"/>
      <c r="E422" s="3"/>
      <c r="F422" s="3"/>
      <c r="G422" s="3"/>
      <c r="H422" s="3"/>
      <c r="I422" s="3"/>
      <c r="J422" s="3"/>
      <c r="K422" s="3"/>
    </row>
    <row r="423" spans="1:11" hidden="1" x14ac:dyDescent="0.2">
      <c r="A423" s="3"/>
      <c r="B423" s="3"/>
      <c r="C423" s="3"/>
      <c r="D423" s="3"/>
      <c r="E423" s="3"/>
      <c r="F423" s="3"/>
      <c r="G423" s="3"/>
      <c r="H423" s="3"/>
      <c r="I423" s="3"/>
      <c r="J423" s="3"/>
      <c r="K423" s="3"/>
    </row>
    <row r="424" spans="1:11" hidden="1" x14ac:dyDescent="0.2">
      <c r="A424" s="3"/>
      <c r="B424" s="3"/>
      <c r="C424" s="3"/>
      <c r="D424" s="3"/>
      <c r="E424" s="3"/>
      <c r="F424" s="3"/>
      <c r="G424" s="3"/>
      <c r="H424" s="3"/>
      <c r="I424" s="3"/>
      <c r="J424" s="3"/>
      <c r="K424" s="3"/>
    </row>
    <row r="425" spans="1:11" hidden="1" x14ac:dyDescent="0.2">
      <c r="A425" s="3"/>
      <c r="B425" s="3"/>
      <c r="C425" s="3"/>
      <c r="D425" s="3"/>
      <c r="E425" s="3"/>
      <c r="F425" s="3"/>
      <c r="G425" s="3"/>
      <c r="H425" s="3"/>
      <c r="I425" s="3"/>
      <c r="J425" s="3"/>
      <c r="K425" s="3"/>
    </row>
    <row r="426" spans="1:11" hidden="1" x14ac:dyDescent="0.2">
      <c r="A426" s="3"/>
      <c r="B426" s="3"/>
      <c r="C426" s="3"/>
      <c r="D426" s="3"/>
      <c r="E426" s="3"/>
      <c r="F426" s="3"/>
      <c r="G426" s="3"/>
      <c r="H426" s="3"/>
      <c r="I426" s="3"/>
      <c r="J426" s="3"/>
      <c r="K426" s="3"/>
    </row>
    <row r="427" spans="1:11" hidden="1" x14ac:dyDescent="0.2">
      <c r="A427" s="3"/>
      <c r="B427" s="3"/>
      <c r="C427" s="3"/>
      <c r="D427" s="3"/>
      <c r="E427" s="3"/>
      <c r="F427" s="3"/>
      <c r="G427" s="3"/>
      <c r="H427" s="3"/>
      <c r="I427" s="3"/>
      <c r="J427" s="3"/>
      <c r="K427" s="3"/>
    </row>
    <row r="428" spans="1:11" hidden="1" x14ac:dyDescent="0.2">
      <c r="A428" s="3"/>
      <c r="B428" s="3"/>
      <c r="C428" s="3"/>
      <c r="D428" s="3"/>
      <c r="E428" s="3"/>
      <c r="F428" s="3"/>
      <c r="G428" s="3"/>
      <c r="H428" s="3"/>
      <c r="I428" s="3"/>
      <c r="J428" s="3"/>
      <c r="K428" s="3"/>
    </row>
    <row r="429" spans="1:11" hidden="1" x14ac:dyDescent="0.2">
      <c r="A429" s="3"/>
      <c r="B429" s="3"/>
      <c r="C429" s="3"/>
      <c r="D429" s="3"/>
      <c r="E429" s="3"/>
      <c r="F429" s="3"/>
      <c r="G429" s="3"/>
      <c r="H429" s="3"/>
      <c r="I429" s="3"/>
      <c r="J429" s="3"/>
      <c r="K429" s="3"/>
    </row>
    <row r="430" spans="1:11" hidden="1" x14ac:dyDescent="0.2">
      <c r="A430" s="3"/>
      <c r="B430" s="3"/>
      <c r="C430" s="3"/>
      <c r="D430" s="3"/>
      <c r="E430" s="3"/>
      <c r="F430" s="3"/>
      <c r="G430" s="3"/>
      <c r="H430" s="3"/>
      <c r="I430" s="3"/>
      <c r="J430" s="3"/>
      <c r="K430" s="3"/>
    </row>
    <row r="431" spans="1:11" hidden="1" x14ac:dyDescent="0.2">
      <c r="A431" s="3"/>
      <c r="B431" s="3"/>
      <c r="C431" s="3"/>
      <c r="D431" s="3"/>
      <c r="E431" s="3"/>
      <c r="F431" s="3"/>
      <c r="G431" s="3"/>
      <c r="H431" s="3"/>
      <c r="I431" s="3"/>
      <c r="J431" s="3"/>
      <c r="K431" s="3"/>
    </row>
    <row r="432" spans="1:11" hidden="1" x14ac:dyDescent="0.2">
      <c r="A432" s="3"/>
      <c r="B432" s="3"/>
      <c r="C432" s="3"/>
      <c r="D432" s="3"/>
      <c r="E432" s="3"/>
      <c r="F432" s="3"/>
      <c r="G432" s="3"/>
      <c r="H432" s="3"/>
      <c r="I432" s="3"/>
      <c r="J432" s="3"/>
      <c r="K432" s="3"/>
    </row>
    <row r="433" spans="1:11" hidden="1" x14ac:dyDescent="0.2">
      <c r="A433" s="3"/>
      <c r="B433" s="3"/>
      <c r="C433" s="3"/>
      <c r="D433" s="3"/>
      <c r="E433" s="3"/>
      <c r="F433" s="3"/>
      <c r="G433" s="3"/>
      <c r="H433" s="3"/>
      <c r="I433" s="3"/>
      <c r="J433" s="3"/>
      <c r="K433" s="3"/>
    </row>
    <row r="434" spans="1:11" hidden="1" x14ac:dyDescent="0.2">
      <c r="A434" s="3"/>
      <c r="B434" s="3"/>
      <c r="C434" s="3"/>
      <c r="D434" s="3"/>
      <c r="E434" s="3"/>
      <c r="F434" s="3"/>
      <c r="G434" s="3"/>
      <c r="H434" s="3"/>
      <c r="I434" s="3"/>
      <c r="J434" s="3"/>
      <c r="K434" s="3"/>
    </row>
    <row r="435" spans="1:11" hidden="1" x14ac:dyDescent="0.2">
      <c r="A435" s="3"/>
      <c r="B435" s="3"/>
      <c r="C435" s="3"/>
      <c r="D435" s="3"/>
      <c r="E435" s="3"/>
      <c r="F435" s="3"/>
      <c r="G435" s="3"/>
      <c r="H435" s="3"/>
      <c r="I435" s="3"/>
      <c r="J435" s="3"/>
      <c r="K435" s="3"/>
    </row>
    <row r="436" spans="1:11" hidden="1" x14ac:dyDescent="0.2">
      <c r="A436" s="3"/>
      <c r="B436" s="3"/>
      <c r="C436" s="3"/>
      <c r="D436" s="3"/>
      <c r="E436" s="3"/>
      <c r="F436" s="3"/>
      <c r="G436" s="3"/>
      <c r="H436" s="3"/>
      <c r="I436" s="3"/>
      <c r="J436" s="3"/>
      <c r="K436" s="3"/>
    </row>
    <row r="437" spans="1:11" hidden="1" x14ac:dyDescent="0.2">
      <c r="A437" s="3"/>
      <c r="B437" s="3"/>
      <c r="C437" s="3"/>
      <c r="D437" s="3"/>
      <c r="E437" s="3"/>
      <c r="F437" s="3"/>
      <c r="G437" s="3"/>
      <c r="H437" s="3"/>
      <c r="I437" s="3"/>
      <c r="J437" s="3"/>
      <c r="K437" s="3"/>
    </row>
    <row r="438" spans="1:11" hidden="1" x14ac:dyDescent="0.2">
      <c r="A438" s="3"/>
      <c r="B438" s="3"/>
      <c r="C438" s="3"/>
      <c r="D438" s="3"/>
      <c r="E438" s="3"/>
      <c r="F438" s="3"/>
      <c r="G438" s="3"/>
      <c r="H438" s="3"/>
      <c r="I438" s="3"/>
      <c r="J438" s="3"/>
      <c r="K438" s="3"/>
    </row>
    <row r="439" spans="1:11" hidden="1" x14ac:dyDescent="0.2">
      <c r="A439" s="3"/>
      <c r="B439" s="3"/>
      <c r="C439" s="3"/>
      <c r="D439" s="3"/>
      <c r="E439" s="3"/>
      <c r="F439" s="3"/>
      <c r="G439" s="3"/>
      <c r="H439" s="3"/>
      <c r="I439" s="3"/>
      <c r="J439" s="3"/>
      <c r="K439" s="3"/>
    </row>
    <row r="440" spans="1:11" hidden="1" x14ac:dyDescent="0.2">
      <c r="A440" s="3"/>
      <c r="B440" s="3"/>
      <c r="C440" s="3"/>
      <c r="D440" s="3"/>
      <c r="E440" s="3"/>
      <c r="F440" s="3"/>
      <c r="G440" s="3"/>
      <c r="H440" s="3"/>
      <c r="I440" s="3"/>
      <c r="J440" s="3"/>
      <c r="K440" s="3"/>
    </row>
    <row r="441" spans="1:11" hidden="1" x14ac:dyDescent="0.2">
      <c r="A441" s="3"/>
      <c r="B441" s="3"/>
      <c r="C441" s="3"/>
      <c r="D441" s="3"/>
      <c r="E441" s="3"/>
      <c r="F441" s="3"/>
      <c r="G441" s="3"/>
      <c r="H441" s="3"/>
      <c r="I441" s="3"/>
      <c r="J441" s="3"/>
      <c r="K441" s="3"/>
    </row>
    <row r="442" spans="1:11" hidden="1" x14ac:dyDescent="0.2">
      <c r="A442" s="3"/>
      <c r="B442" s="3"/>
      <c r="C442" s="3"/>
      <c r="D442" s="3"/>
      <c r="E442" s="3"/>
      <c r="F442" s="3"/>
      <c r="G442" s="3"/>
      <c r="H442" s="3"/>
      <c r="I442" s="3"/>
      <c r="J442" s="3"/>
      <c r="K442" s="3"/>
    </row>
    <row r="443" spans="1:11" hidden="1" x14ac:dyDescent="0.2">
      <c r="A443" s="3"/>
      <c r="B443" s="3"/>
      <c r="C443" s="3"/>
      <c r="D443" s="3"/>
      <c r="E443" s="3"/>
      <c r="F443" s="3"/>
      <c r="G443" s="3"/>
      <c r="H443" s="3"/>
      <c r="I443" s="3"/>
      <c r="J443" s="3"/>
      <c r="K443" s="3"/>
    </row>
    <row r="444" spans="1:11" hidden="1" x14ac:dyDescent="0.2">
      <c r="A444" s="3"/>
      <c r="B444" s="3"/>
      <c r="C444" s="3"/>
      <c r="D444" s="3"/>
      <c r="E444" s="3"/>
      <c r="F444" s="3"/>
      <c r="G444" s="3"/>
      <c r="H444" s="3"/>
      <c r="I444" s="3"/>
      <c r="J444" s="3"/>
      <c r="K444" s="3"/>
    </row>
    <row r="445" spans="1:11" hidden="1" x14ac:dyDescent="0.2">
      <c r="A445" s="3"/>
      <c r="B445" s="3"/>
      <c r="C445" s="3"/>
      <c r="D445" s="3"/>
      <c r="E445" s="3"/>
      <c r="F445" s="3"/>
      <c r="G445" s="3"/>
      <c r="H445" s="3"/>
      <c r="I445" s="3"/>
      <c r="J445" s="3"/>
      <c r="K445" s="3"/>
    </row>
    <row r="446" spans="1:11" hidden="1" x14ac:dyDescent="0.2">
      <c r="A446" s="3"/>
      <c r="B446" s="3"/>
      <c r="C446" s="3"/>
      <c r="D446" s="3"/>
      <c r="E446" s="3"/>
      <c r="F446" s="3"/>
      <c r="G446" s="3"/>
      <c r="H446" s="3"/>
      <c r="I446" s="3"/>
      <c r="J446" s="3"/>
      <c r="K446" s="3"/>
    </row>
    <row r="447" spans="1:11" hidden="1" x14ac:dyDescent="0.2">
      <c r="A447" s="3"/>
      <c r="B447" s="3"/>
      <c r="C447" s="3"/>
      <c r="D447" s="3"/>
      <c r="E447" s="3"/>
      <c r="F447" s="3"/>
      <c r="G447" s="3"/>
      <c r="H447" s="3"/>
      <c r="I447" s="3"/>
      <c r="J447" s="3"/>
      <c r="K447" s="3"/>
    </row>
    <row r="448" spans="1:11" hidden="1" x14ac:dyDescent="0.2">
      <c r="A448" s="3"/>
      <c r="B448" s="3"/>
      <c r="C448" s="3"/>
      <c r="D448" s="3"/>
      <c r="E448" s="3"/>
      <c r="F448" s="3"/>
      <c r="G448" s="3"/>
      <c r="H448" s="3"/>
      <c r="I448" s="3"/>
      <c r="J448" s="3"/>
      <c r="K448" s="3"/>
    </row>
    <row r="449" spans="1:11" hidden="1" x14ac:dyDescent="0.2">
      <c r="A449" s="3"/>
      <c r="B449" s="3"/>
      <c r="C449" s="3"/>
      <c r="D449" s="3"/>
      <c r="E449" s="3"/>
      <c r="F449" s="3"/>
      <c r="G449" s="3"/>
      <c r="H449" s="3"/>
      <c r="I449" s="3"/>
      <c r="J449" s="3"/>
      <c r="K449" s="3"/>
    </row>
    <row r="450" spans="1:11" hidden="1" x14ac:dyDescent="0.2">
      <c r="A450" s="3"/>
      <c r="B450" s="3"/>
      <c r="C450" s="3"/>
      <c r="D450" s="3"/>
      <c r="E450" s="3"/>
      <c r="F450" s="3"/>
      <c r="G450" s="3"/>
      <c r="H450" s="3"/>
      <c r="I450" s="3"/>
      <c r="J450" s="3"/>
      <c r="K450" s="3"/>
    </row>
    <row r="451" spans="1:11" hidden="1" x14ac:dyDescent="0.2">
      <c r="A451" s="3"/>
      <c r="B451" s="3"/>
      <c r="C451" s="3"/>
      <c r="D451" s="3"/>
      <c r="E451" s="3"/>
      <c r="F451" s="3"/>
      <c r="G451" s="3"/>
      <c r="H451" s="3"/>
      <c r="I451" s="3"/>
      <c r="J451" s="3"/>
      <c r="K451" s="3"/>
    </row>
    <row r="452" spans="1:11" hidden="1" x14ac:dyDescent="0.2">
      <c r="A452" s="3"/>
      <c r="B452" s="3"/>
      <c r="C452" s="3"/>
      <c r="D452" s="3"/>
      <c r="E452" s="3"/>
      <c r="F452" s="3"/>
      <c r="G452" s="3"/>
      <c r="H452" s="3"/>
      <c r="I452" s="3"/>
      <c r="J452" s="3"/>
      <c r="K452" s="3"/>
    </row>
    <row r="453" spans="1:11" hidden="1" x14ac:dyDescent="0.2">
      <c r="A453" s="3"/>
      <c r="B453" s="3"/>
      <c r="C453" s="3"/>
      <c r="D453" s="3"/>
      <c r="E453" s="3"/>
      <c r="F453" s="3"/>
      <c r="G453" s="3"/>
      <c r="H453" s="3"/>
      <c r="I453" s="3"/>
      <c r="J453" s="3"/>
      <c r="K453" s="3"/>
    </row>
    <row r="454" spans="1:11" hidden="1" x14ac:dyDescent="0.2">
      <c r="A454" s="3"/>
      <c r="B454" s="3"/>
      <c r="C454" s="3"/>
      <c r="D454" s="3"/>
      <c r="E454" s="3"/>
      <c r="F454" s="3"/>
      <c r="G454" s="3"/>
      <c r="H454" s="3"/>
      <c r="I454" s="3"/>
      <c r="J454" s="3"/>
      <c r="K454" s="3"/>
    </row>
    <row r="455" spans="1:11" hidden="1" x14ac:dyDescent="0.2">
      <c r="A455" s="3"/>
      <c r="B455" s="3"/>
      <c r="C455" s="3"/>
      <c r="D455" s="3"/>
      <c r="E455" s="3"/>
      <c r="F455" s="3"/>
      <c r="G455" s="3"/>
      <c r="H455" s="3"/>
      <c r="I455" s="3"/>
      <c r="J455" s="3"/>
      <c r="K455" s="3"/>
    </row>
    <row r="456" spans="1:11" hidden="1" x14ac:dyDescent="0.2">
      <c r="A456" s="3"/>
      <c r="B456" s="3"/>
      <c r="C456" s="3"/>
      <c r="D456" s="3"/>
      <c r="E456" s="3"/>
      <c r="F456" s="3"/>
      <c r="G456" s="3"/>
      <c r="H456" s="3"/>
      <c r="I456" s="3"/>
      <c r="J456" s="3"/>
      <c r="K456" s="3"/>
    </row>
    <row r="457" spans="1:11" hidden="1" x14ac:dyDescent="0.2">
      <c r="A457" s="3"/>
      <c r="B457" s="3"/>
      <c r="C457" s="3"/>
      <c r="D457" s="3"/>
      <c r="E457" s="3"/>
      <c r="F457" s="3"/>
      <c r="G457" s="3"/>
      <c r="H457" s="3"/>
      <c r="I457" s="3"/>
      <c r="J457" s="3"/>
      <c r="K457" s="3"/>
    </row>
    <row r="458" spans="1:11" hidden="1" x14ac:dyDescent="0.2">
      <c r="A458" s="3"/>
      <c r="B458" s="3"/>
      <c r="C458" s="3"/>
      <c r="D458" s="3"/>
      <c r="E458" s="3"/>
      <c r="F458" s="3"/>
      <c r="G458" s="3"/>
      <c r="H458" s="3"/>
      <c r="I458" s="3"/>
      <c r="J458" s="3"/>
      <c r="K458" s="3"/>
    </row>
    <row r="459" spans="1:11" hidden="1" x14ac:dyDescent="0.2">
      <c r="A459" s="3"/>
      <c r="B459" s="3"/>
      <c r="C459" s="3"/>
      <c r="D459" s="3"/>
      <c r="E459" s="3"/>
      <c r="F459" s="3"/>
      <c r="G459" s="3"/>
      <c r="H459" s="3"/>
      <c r="I459" s="3"/>
      <c r="J459" s="3"/>
      <c r="K459" s="3"/>
    </row>
    <row r="460" spans="1:11" hidden="1" x14ac:dyDescent="0.2">
      <c r="A460" s="3"/>
      <c r="B460" s="3"/>
      <c r="C460" s="3"/>
      <c r="D460" s="3"/>
      <c r="E460" s="3"/>
      <c r="F460" s="3"/>
      <c r="G460" s="3"/>
      <c r="H460" s="3"/>
      <c r="I460" s="3"/>
      <c r="J460" s="3"/>
      <c r="K460" s="3"/>
    </row>
    <row r="461" spans="1:11" hidden="1" x14ac:dyDescent="0.2">
      <c r="A461" s="3"/>
      <c r="B461" s="3"/>
      <c r="C461" s="3"/>
      <c r="D461" s="3"/>
      <c r="E461" s="3"/>
      <c r="F461" s="3"/>
      <c r="G461" s="3"/>
      <c r="H461" s="3"/>
      <c r="I461" s="3"/>
      <c r="J461" s="3"/>
      <c r="K461" s="3"/>
    </row>
    <row r="462" spans="1:11" hidden="1" x14ac:dyDescent="0.2">
      <c r="A462" s="3"/>
      <c r="B462" s="3"/>
      <c r="C462" s="3"/>
      <c r="D462" s="3"/>
      <c r="E462" s="3"/>
      <c r="F462" s="3"/>
      <c r="G462" s="3"/>
      <c r="H462" s="3"/>
      <c r="I462" s="3"/>
      <c r="J462" s="3"/>
      <c r="K462" s="3"/>
    </row>
    <row r="463" spans="1:11" hidden="1" x14ac:dyDescent="0.2">
      <c r="A463" s="3"/>
      <c r="B463" s="3"/>
      <c r="C463" s="3"/>
      <c r="D463" s="3"/>
      <c r="E463" s="3"/>
      <c r="F463" s="3"/>
      <c r="G463" s="3"/>
      <c r="H463" s="3"/>
      <c r="I463" s="3"/>
      <c r="J463" s="3"/>
      <c r="K463" s="3"/>
    </row>
    <row r="464" spans="1:11" hidden="1" x14ac:dyDescent="0.2">
      <c r="A464" s="3"/>
      <c r="B464" s="3"/>
      <c r="C464" s="3"/>
      <c r="D464" s="3"/>
      <c r="E464" s="3"/>
      <c r="F464" s="3"/>
      <c r="G464" s="3"/>
      <c r="H464" s="3"/>
      <c r="I464" s="3"/>
      <c r="J464" s="3"/>
      <c r="K464" s="3"/>
    </row>
    <row r="465" spans="1:11" hidden="1" x14ac:dyDescent="0.2">
      <c r="A465" s="3"/>
      <c r="B465" s="3"/>
      <c r="C465" s="3"/>
      <c r="D465" s="3"/>
      <c r="E465" s="3"/>
      <c r="F465" s="3"/>
      <c r="G465" s="3"/>
      <c r="H465" s="3"/>
      <c r="I465" s="3"/>
      <c r="J465" s="3"/>
      <c r="K465" s="3"/>
    </row>
    <row r="466" spans="1:11" hidden="1" x14ac:dyDescent="0.2">
      <c r="A466" s="3"/>
      <c r="B466" s="3"/>
      <c r="C466" s="3"/>
      <c r="D466" s="3"/>
      <c r="E466" s="3"/>
      <c r="F466" s="3"/>
      <c r="G466" s="3"/>
      <c r="H466" s="3"/>
      <c r="I466" s="3"/>
      <c r="J466" s="3"/>
      <c r="K466" s="3"/>
    </row>
    <row r="467" spans="1:11" hidden="1" x14ac:dyDescent="0.2">
      <c r="A467" s="3"/>
      <c r="B467" s="3"/>
      <c r="C467" s="3"/>
      <c r="D467" s="3"/>
      <c r="E467" s="3"/>
      <c r="F467" s="3"/>
      <c r="G467" s="3"/>
      <c r="H467" s="3"/>
      <c r="I467" s="3"/>
      <c r="J467" s="3"/>
      <c r="K467" s="3"/>
    </row>
    <row r="468" spans="1:11" hidden="1" x14ac:dyDescent="0.2">
      <c r="A468" s="3"/>
      <c r="B468" s="3"/>
      <c r="C468" s="3"/>
      <c r="D468" s="3"/>
      <c r="E468" s="3"/>
      <c r="F468" s="3"/>
      <c r="G468" s="3"/>
      <c r="H468" s="3"/>
      <c r="I468" s="3"/>
      <c r="J468" s="3"/>
      <c r="K468" s="3"/>
    </row>
    <row r="469" spans="1:11" hidden="1" x14ac:dyDescent="0.2">
      <c r="A469" s="3"/>
      <c r="B469" s="3"/>
      <c r="C469" s="3"/>
      <c r="D469" s="3"/>
      <c r="E469" s="3"/>
      <c r="F469" s="3"/>
      <c r="G469" s="3"/>
      <c r="H469" s="3"/>
      <c r="I469" s="3"/>
      <c r="J469" s="3"/>
      <c r="K469" s="3"/>
    </row>
    <row r="470" spans="1:11" hidden="1" x14ac:dyDescent="0.2">
      <c r="A470" s="3"/>
      <c r="B470" s="3"/>
      <c r="C470" s="3"/>
      <c r="D470" s="3"/>
      <c r="E470" s="3"/>
      <c r="F470" s="3"/>
      <c r="G470" s="3"/>
      <c r="H470" s="3"/>
      <c r="I470" s="3"/>
      <c r="J470" s="3"/>
      <c r="K470" s="3"/>
    </row>
    <row r="471" spans="1:11" hidden="1" x14ac:dyDescent="0.2">
      <c r="A471" s="3"/>
      <c r="B471" s="3"/>
      <c r="C471" s="3"/>
      <c r="D471" s="3"/>
      <c r="E471" s="3"/>
      <c r="F471" s="3"/>
      <c r="G471" s="3"/>
      <c r="H471" s="3"/>
      <c r="I471" s="3"/>
      <c r="J471" s="3"/>
      <c r="K471" s="3"/>
    </row>
    <row r="472" spans="1:11" hidden="1" x14ac:dyDescent="0.2">
      <c r="A472" s="3"/>
      <c r="B472" s="3"/>
      <c r="C472" s="3"/>
      <c r="D472" s="3"/>
      <c r="E472" s="3"/>
      <c r="F472" s="3"/>
      <c r="G472" s="3"/>
      <c r="H472" s="3"/>
      <c r="I472" s="3"/>
      <c r="J472" s="3"/>
      <c r="K472" s="3"/>
    </row>
    <row r="473" spans="1:11" hidden="1" x14ac:dyDescent="0.2">
      <c r="A473" s="3"/>
      <c r="B473" s="3"/>
      <c r="C473" s="3"/>
      <c r="D473" s="3"/>
      <c r="E473" s="3"/>
      <c r="F473" s="3"/>
      <c r="G473" s="3"/>
      <c r="H473" s="3"/>
      <c r="I473" s="3"/>
      <c r="J473" s="3"/>
      <c r="K473" s="3"/>
    </row>
    <row r="474" spans="1:11" hidden="1" x14ac:dyDescent="0.2">
      <c r="A474" s="3"/>
      <c r="B474" s="3"/>
      <c r="C474" s="3"/>
      <c r="D474" s="3"/>
      <c r="E474" s="3"/>
      <c r="F474" s="3"/>
      <c r="G474" s="3"/>
      <c r="H474" s="3"/>
      <c r="I474" s="3"/>
      <c r="J474" s="3"/>
      <c r="K474" s="3"/>
    </row>
    <row r="475" spans="1:11" hidden="1" x14ac:dyDescent="0.2">
      <c r="A475" s="3"/>
      <c r="B475" s="3"/>
      <c r="C475" s="3"/>
      <c r="D475" s="3"/>
      <c r="E475" s="3"/>
      <c r="F475" s="3"/>
      <c r="G475" s="3"/>
      <c r="H475" s="3"/>
      <c r="I475" s="3"/>
      <c r="J475" s="3"/>
      <c r="K475" s="3"/>
    </row>
    <row r="476" spans="1:11" hidden="1" x14ac:dyDescent="0.2">
      <c r="A476" s="3"/>
      <c r="B476" s="3"/>
      <c r="C476" s="3"/>
      <c r="D476" s="3"/>
      <c r="E476" s="3"/>
      <c r="F476" s="3"/>
      <c r="G476" s="3"/>
      <c r="H476" s="3"/>
      <c r="I476" s="3"/>
      <c r="J476" s="3"/>
      <c r="K476" s="3"/>
    </row>
    <row r="477" spans="1:11" hidden="1" x14ac:dyDescent="0.2">
      <c r="A477" s="3"/>
      <c r="B477" s="3"/>
      <c r="C477" s="3"/>
      <c r="D477" s="3"/>
      <c r="E477" s="3"/>
      <c r="F477" s="3"/>
      <c r="G477" s="3"/>
      <c r="H477" s="3"/>
      <c r="I477" s="3"/>
      <c r="J477" s="3"/>
      <c r="K477" s="3"/>
    </row>
    <row r="478" spans="1:11" hidden="1" x14ac:dyDescent="0.2">
      <c r="A478" s="3"/>
      <c r="B478" s="3"/>
      <c r="C478" s="3"/>
      <c r="D478" s="3"/>
      <c r="E478" s="3"/>
      <c r="F478" s="3"/>
      <c r="G478" s="3"/>
      <c r="H478" s="3"/>
      <c r="I478" s="3"/>
      <c r="J478" s="3"/>
      <c r="K478" s="3"/>
    </row>
    <row r="479" spans="1:11" hidden="1" x14ac:dyDescent="0.2">
      <c r="A479" s="3"/>
      <c r="B479" s="3"/>
      <c r="C479" s="3"/>
      <c r="D479" s="3"/>
      <c r="E479" s="3"/>
      <c r="F479" s="3"/>
      <c r="G479" s="3"/>
      <c r="H479" s="3"/>
      <c r="I479" s="3"/>
      <c r="J479" s="3"/>
      <c r="K479" s="3"/>
    </row>
    <row r="480" spans="1:11" hidden="1" x14ac:dyDescent="0.2">
      <c r="A480" s="3"/>
      <c r="B480" s="3"/>
      <c r="C480" s="3"/>
      <c r="D480" s="3"/>
      <c r="E480" s="3"/>
      <c r="F480" s="3"/>
      <c r="G480" s="3"/>
      <c r="H480" s="3"/>
      <c r="I480" s="3"/>
      <c r="J480" s="3"/>
      <c r="K480" s="3"/>
    </row>
    <row r="481" spans="1:11" hidden="1" x14ac:dyDescent="0.2">
      <c r="A481" s="3"/>
      <c r="B481" s="3"/>
      <c r="C481" s="3"/>
      <c r="D481" s="3"/>
      <c r="E481" s="3"/>
      <c r="F481" s="3"/>
      <c r="G481" s="3"/>
      <c r="H481" s="3"/>
      <c r="I481" s="3"/>
      <c r="J481" s="3"/>
      <c r="K481" s="3"/>
    </row>
    <row r="482" spans="1:11" hidden="1" x14ac:dyDescent="0.2">
      <c r="A482" s="3"/>
      <c r="B482" s="3"/>
      <c r="C482" s="3"/>
      <c r="D482" s="3"/>
      <c r="E482" s="3"/>
      <c r="F482" s="3"/>
      <c r="G482" s="3"/>
      <c r="H482" s="3"/>
      <c r="I482" s="3"/>
      <c r="J482" s="3"/>
      <c r="K482" s="3"/>
    </row>
    <row r="483" spans="1:11" hidden="1" x14ac:dyDescent="0.2">
      <c r="A483" s="3"/>
      <c r="B483" s="3"/>
      <c r="C483" s="3"/>
      <c r="D483" s="3"/>
      <c r="E483" s="3"/>
      <c r="F483" s="3"/>
      <c r="G483" s="3"/>
      <c r="H483" s="3"/>
      <c r="I483" s="3"/>
      <c r="J483" s="3"/>
      <c r="K483" s="3"/>
    </row>
    <row r="484" spans="1:11" hidden="1" x14ac:dyDescent="0.2">
      <c r="A484" s="3"/>
      <c r="B484" s="3"/>
      <c r="C484" s="3"/>
      <c r="D484" s="3"/>
      <c r="E484" s="3"/>
      <c r="F484" s="3"/>
      <c r="G484" s="3"/>
      <c r="H484" s="3"/>
      <c r="I484" s="3"/>
      <c r="J484" s="3"/>
      <c r="K484" s="3"/>
    </row>
    <row r="485" spans="1:11" hidden="1" x14ac:dyDescent="0.2">
      <c r="A485" s="3"/>
      <c r="B485" s="3"/>
      <c r="C485" s="3"/>
      <c r="D485" s="3"/>
      <c r="E485" s="3"/>
      <c r="F485" s="3"/>
      <c r="G485" s="3"/>
      <c r="H485" s="3"/>
      <c r="I485" s="3"/>
      <c r="J485" s="3"/>
      <c r="K485" s="3"/>
    </row>
    <row r="486" spans="1:11" hidden="1" x14ac:dyDescent="0.2">
      <c r="A486" s="3"/>
      <c r="B486" s="3"/>
      <c r="C486" s="3"/>
      <c r="D486" s="3"/>
      <c r="E486" s="3"/>
      <c r="F486" s="3"/>
      <c r="G486" s="3"/>
      <c r="H486" s="3"/>
      <c r="I486" s="3"/>
      <c r="J486" s="3"/>
      <c r="K486" s="3"/>
    </row>
    <row r="487" spans="1:11" hidden="1" x14ac:dyDescent="0.2">
      <c r="A487" s="3"/>
      <c r="B487" s="3"/>
      <c r="C487" s="3"/>
      <c r="D487" s="3"/>
      <c r="E487" s="3"/>
      <c r="F487" s="3"/>
      <c r="G487" s="3"/>
      <c r="H487" s="3"/>
      <c r="I487" s="3"/>
      <c r="J487" s="3"/>
      <c r="K487" s="3"/>
    </row>
    <row r="488" spans="1:11" hidden="1" x14ac:dyDescent="0.2">
      <c r="A488" s="3"/>
      <c r="B488" s="3"/>
      <c r="C488" s="3"/>
      <c r="D488" s="3"/>
      <c r="E488" s="3"/>
      <c r="F488" s="3"/>
      <c r="G488" s="3"/>
      <c r="H488" s="3"/>
      <c r="I488" s="3"/>
      <c r="J488" s="3"/>
      <c r="K488" s="3"/>
    </row>
    <row r="489" spans="1:11" hidden="1" x14ac:dyDescent="0.2">
      <c r="A489" s="3"/>
      <c r="B489" s="3"/>
      <c r="C489" s="3"/>
      <c r="D489" s="3"/>
      <c r="E489" s="3"/>
      <c r="F489" s="3"/>
      <c r="G489" s="3"/>
      <c r="H489" s="3"/>
      <c r="I489" s="3"/>
      <c r="J489" s="3"/>
      <c r="K489" s="3"/>
    </row>
    <row r="490" spans="1:11" hidden="1" x14ac:dyDescent="0.2">
      <c r="A490" s="3"/>
      <c r="B490" s="3"/>
      <c r="C490" s="3"/>
      <c r="D490" s="3"/>
      <c r="E490" s="3"/>
      <c r="F490" s="3"/>
      <c r="G490" s="3"/>
      <c r="H490" s="3"/>
      <c r="I490" s="3"/>
      <c r="J490" s="3"/>
      <c r="K490" s="3"/>
    </row>
    <row r="491" spans="1:11" hidden="1" x14ac:dyDescent="0.2">
      <c r="A491" s="3"/>
      <c r="B491" s="3"/>
      <c r="C491" s="3"/>
      <c r="D491" s="3"/>
      <c r="E491" s="3"/>
      <c r="F491" s="3"/>
      <c r="G491" s="3"/>
      <c r="H491" s="3"/>
      <c r="I491" s="3"/>
      <c r="J491" s="3"/>
      <c r="K491" s="3"/>
    </row>
    <row r="492" spans="1:11" hidden="1" x14ac:dyDescent="0.2">
      <c r="A492" s="3"/>
      <c r="B492" s="3"/>
      <c r="C492" s="3"/>
      <c r="D492" s="3"/>
      <c r="E492" s="3"/>
      <c r="F492" s="3"/>
      <c r="G492" s="3"/>
      <c r="H492" s="3"/>
      <c r="I492" s="3"/>
      <c r="J492" s="3"/>
      <c r="K492" s="3"/>
    </row>
    <row r="493" spans="1:11" hidden="1" x14ac:dyDescent="0.2">
      <c r="A493" s="3"/>
      <c r="B493" s="3"/>
      <c r="C493" s="3"/>
      <c r="D493" s="3"/>
      <c r="E493" s="3"/>
      <c r="F493" s="3"/>
      <c r="G493" s="3"/>
      <c r="H493" s="3"/>
      <c r="I493" s="3"/>
      <c r="J493" s="3"/>
      <c r="K493" s="3"/>
    </row>
    <row r="494" spans="1:11" hidden="1" x14ac:dyDescent="0.2">
      <c r="A494" s="3"/>
      <c r="B494" s="3"/>
      <c r="C494" s="3"/>
      <c r="D494" s="3"/>
      <c r="E494" s="3"/>
      <c r="F494" s="3"/>
      <c r="G494" s="3"/>
      <c r="H494" s="3"/>
      <c r="I494" s="3"/>
      <c r="J494" s="3"/>
      <c r="K494" s="3"/>
    </row>
    <row r="495" spans="1:11" hidden="1" x14ac:dyDescent="0.2">
      <c r="A495" s="3"/>
      <c r="B495" s="3"/>
      <c r="C495" s="3"/>
      <c r="D495" s="3"/>
      <c r="E495" s="3"/>
      <c r="F495" s="3"/>
      <c r="G495" s="3"/>
      <c r="H495" s="3"/>
      <c r="I495" s="3"/>
      <c r="J495" s="3"/>
      <c r="K495" s="3"/>
    </row>
    <row r="496" spans="1:11" hidden="1" x14ac:dyDescent="0.2">
      <c r="A496" s="3"/>
      <c r="B496" s="3"/>
      <c r="C496" s="3"/>
      <c r="D496" s="3"/>
      <c r="E496" s="3"/>
      <c r="F496" s="3"/>
      <c r="G496" s="3"/>
      <c r="H496" s="3"/>
      <c r="I496" s="3"/>
      <c r="J496" s="3"/>
      <c r="K496" s="3"/>
    </row>
    <row r="497" spans="1:11" hidden="1" x14ac:dyDescent="0.2">
      <c r="A497" s="3"/>
      <c r="B497" s="3"/>
      <c r="C497" s="3"/>
      <c r="D497" s="3"/>
      <c r="E497" s="3"/>
      <c r="F497" s="3"/>
      <c r="G497" s="3"/>
      <c r="H497" s="3"/>
      <c r="I497" s="3"/>
      <c r="J497" s="3"/>
      <c r="K497" s="3"/>
    </row>
    <row r="498" spans="1:11" hidden="1" x14ac:dyDescent="0.2">
      <c r="A498" s="3"/>
      <c r="B498" s="3"/>
      <c r="C498" s="3"/>
      <c r="D498" s="3"/>
      <c r="E498" s="3"/>
      <c r="F498" s="3"/>
      <c r="G498" s="3"/>
      <c r="H498" s="3"/>
      <c r="I498" s="3"/>
      <c r="J498" s="3"/>
      <c r="K498" s="3"/>
    </row>
    <row r="499" spans="1:11" hidden="1" x14ac:dyDescent="0.2">
      <c r="A499" s="3"/>
      <c r="B499" s="3"/>
      <c r="C499" s="3"/>
      <c r="D499" s="3"/>
      <c r="E499" s="3"/>
      <c r="F499" s="3"/>
      <c r="G499" s="3"/>
      <c r="H499" s="3"/>
      <c r="I499" s="3"/>
      <c r="J499" s="3"/>
      <c r="K499" s="3"/>
    </row>
    <row r="500" spans="1:11" hidden="1" x14ac:dyDescent="0.2">
      <c r="A500" s="3"/>
      <c r="B500" s="3"/>
      <c r="C500" s="3"/>
      <c r="D500" s="3"/>
      <c r="E500" s="3"/>
      <c r="F500" s="3"/>
      <c r="G500" s="3"/>
      <c r="H500" s="3"/>
      <c r="I500" s="3"/>
      <c r="J500" s="3"/>
      <c r="K500" s="3"/>
    </row>
    <row r="501" spans="1:11" hidden="1" x14ac:dyDescent="0.2">
      <c r="A501" s="3"/>
      <c r="B501" s="3"/>
      <c r="C501" s="3"/>
      <c r="D501" s="3"/>
      <c r="E501" s="3"/>
      <c r="F501" s="3"/>
      <c r="G501" s="3"/>
      <c r="H501" s="3"/>
      <c r="I501" s="3"/>
      <c r="J501" s="3"/>
      <c r="K501" s="3"/>
    </row>
    <row r="502" spans="1:11" hidden="1" x14ac:dyDescent="0.2">
      <c r="A502" s="3"/>
      <c r="B502" s="3"/>
      <c r="C502" s="3"/>
      <c r="D502" s="3"/>
      <c r="E502" s="3"/>
      <c r="F502" s="3"/>
      <c r="G502" s="3"/>
      <c r="H502" s="3"/>
      <c r="I502" s="3"/>
      <c r="J502" s="3"/>
      <c r="K502" s="3"/>
    </row>
    <row r="503" spans="1:11" hidden="1" x14ac:dyDescent="0.2">
      <c r="A503" s="3"/>
      <c r="B503" s="3"/>
      <c r="C503" s="3"/>
      <c r="D503" s="3"/>
      <c r="E503" s="3"/>
      <c r="F503" s="3"/>
      <c r="G503" s="3"/>
      <c r="H503" s="3"/>
      <c r="I503" s="3"/>
      <c r="J503" s="3"/>
      <c r="K503" s="3"/>
    </row>
    <row r="504" spans="1:11" hidden="1" x14ac:dyDescent="0.2">
      <c r="A504" s="3"/>
      <c r="B504" s="3"/>
      <c r="C504" s="3"/>
      <c r="D504" s="3"/>
      <c r="E504" s="3"/>
      <c r="F504" s="3"/>
      <c r="G504" s="3"/>
      <c r="H504" s="3"/>
      <c r="I504" s="3"/>
      <c r="J504" s="3"/>
      <c r="K504" s="3"/>
    </row>
    <row r="505" spans="1:11" hidden="1" x14ac:dyDescent="0.2">
      <c r="A505" s="3"/>
      <c r="B505" s="3"/>
      <c r="C505" s="3"/>
      <c r="D505" s="3"/>
      <c r="E505" s="3"/>
      <c r="F505" s="3"/>
      <c r="G505" s="3"/>
      <c r="H505" s="3"/>
      <c r="I505" s="3"/>
      <c r="J505" s="3"/>
      <c r="K505" s="3"/>
    </row>
    <row r="506" spans="1:11" hidden="1" x14ac:dyDescent="0.2">
      <c r="A506" s="3"/>
      <c r="B506" s="3"/>
      <c r="C506" s="3"/>
      <c r="D506" s="3"/>
      <c r="E506" s="3"/>
      <c r="F506" s="3"/>
      <c r="G506" s="3"/>
      <c r="H506" s="3"/>
      <c r="I506" s="3"/>
      <c r="J506" s="3"/>
      <c r="K506" s="3"/>
    </row>
    <row r="507" spans="1:11" hidden="1" x14ac:dyDescent="0.2">
      <c r="A507" s="3"/>
      <c r="B507" s="3"/>
      <c r="C507" s="3"/>
      <c r="D507" s="3"/>
      <c r="E507" s="3"/>
      <c r="F507" s="3"/>
      <c r="G507" s="3"/>
      <c r="H507" s="3"/>
      <c r="I507" s="3"/>
      <c r="J507" s="3"/>
      <c r="K507" s="3"/>
    </row>
    <row r="508" spans="1:11" hidden="1" x14ac:dyDescent="0.2">
      <c r="A508" s="3"/>
      <c r="B508" s="3"/>
      <c r="C508" s="3"/>
      <c r="D508" s="3"/>
      <c r="E508" s="3"/>
      <c r="F508" s="3"/>
      <c r="G508" s="3"/>
      <c r="H508" s="3"/>
      <c r="I508" s="3"/>
      <c r="J508" s="3"/>
      <c r="K508" s="3"/>
    </row>
    <row r="509" spans="1:11" hidden="1" x14ac:dyDescent="0.2">
      <c r="A509" s="3"/>
      <c r="B509" s="3"/>
      <c r="C509" s="3"/>
      <c r="D509" s="3"/>
      <c r="E509" s="3"/>
      <c r="F509" s="3"/>
      <c r="G509" s="3"/>
      <c r="H509" s="3"/>
      <c r="I509" s="3"/>
      <c r="J509" s="3"/>
      <c r="K509" s="3"/>
    </row>
    <row r="510" spans="1:11" hidden="1" x14ac:dyDescent="0.2">
      <c r="A510" s="3"/>
      <c r="B510" s="3"/>
      <c r="C510" s="3"/>
      <c r="D510" s="3"/>
      <c r="E510" s="3"/>
      <c r="F510" s="3"/>
      <c r="G510" s="3"/>
      <c r="H510" s="3"/>
      <c r="I510" s="3"/>
      <c r="J510" s="3"/>
      <c r="K510" s="3"/>
    </row>
    <row r="511" spans="1:11" hidden="1" x14ac:dyDescent="0.2">
      <c r="A511" s="3"/>
      <c r="B511" s="3"/>
      <c r="C511" s="3"/>
      <c r="D511" s="3"/>
      <c r="E511" s="3"/>
      <c r="F511" s="3"/>
      <c r="G511" s="3"/>
      <c r="H511" s="3"/>
      <c r="I511" s="3"/>
      <c r="J511" s="3"/>
      <c r="K511" s="3"/>
    </row>
    <row r="512" spans="1:11" hidden="1" x14ac:dyDescent="0.2">
      <c r="A512" s="3"/>
      <c r="B512" s="3"/>
      <c r="C512" s="3"/>
      <c r="D512" s="3"/>
      <c r="E512" s="3"/>
      <c r="F512" s="3"/>
      <c r="G512" s="3"/>
      <c r="H512" s="3"/>
      <c r="I512" s="3"/>
      <c r="J512" s="3"/>
      <c r="K512" s="3"/>
    </row>
    <row r="513" spans="1:11" hidden="1" x14ac:dyDescent="0.2">
      <c r="A513" s="3"/>
      <c r="B513" s="3"/>
      <c r="C513" s="3"/>
      <c r="D513" s="3"/>
      <c r="E513" s="3"/>
      <c r="F513" s="3"/>
      <c r="G513" s="3"/>
      <c r="H513" s="3"/>
      <c r="I513" s="3"/>
      <c r="J513" s="3"/>
      <c r="K513" s="3"/>
    </row>
    <row r="514" spans="1:11" hidden="1" x14ac:dyDescent="0.2">
      <c r="A514" s="3"/>
      <c r="B514" s="3"/>
      <c r="C514" s="3"/>
      <c r="D514" s="3"/>
      <c r="E514" s="3"/>
      <c r="F514" s="3"/>
      <c r="G514" s="3"/>
      <c r="H514" s="3"/>
      <c r="I514" s="3"/>
      <c r="J514" s="3"/>
      <c r="K514" s="3"/>
    </row>
    <row r="515" spans="1:11" hidden="1" x14ac:dyDescent="0.2">
      <c r="A515" s="3"/>
      <c r="B515" s="3"/>
      <c r="C515" s="3"/>
      <c r="D515" s="3"/>
      <c r="E515" s="3"/>
      <c r="F515" s="3"/>
      <c r="G515" s="3"/>
      <c r="H515" s="3"/>
      <c r="I515" s="3"/>
      <c r="J515" s="3"/>
      <c r="K515" s="3"/>
    </row>
    <row r="516" spans="1:11" hidden="1" x14ac:dyDescent="0.2">
      <c r="A516" s="3"/>
      <c r="B516" s="3"/>
      <c r="C516" s="3"/>
      <c r="D516" s="3"/>
      <c r="E516" s="3"/>
      <c r="F516" s="3"/>
      <c r="G516" s="3"/>
      <c r="H516" s="3"/>
      <c r="I516" s="3"/>
      <c r="J516" s="3"/>
      <c r="K516" s="3"/>
    </row>
    <row r="517" spans="1:11" hidden="1" x14ac:dyDescent="0.2">
      <c r="A517" s="3"/>
      <c r="B517" s="3"/>
      <c r="C517" s="3"/>
      <c r="D517" s="3"/>
      <c r="E517" s="3"/>
      <c r="F517" s="3"/>
      <c r="G517" s="3"/>
      <c r="H517" s="3"/>
      <c r="I517" s="3"/>
      <c r="J517" s="3"/>
      <c r="K517" s="3"/>
    </row>
    <row r="518" spans="1:11" hidden="1" x14ac:dyDescent="0.2">
      <c r="A518" s="3"/>
      <c r="B518" s="3"/>
      <c r="C518" s="3"/>
      <c r="D518" s="3"/>
      <c r="E518" s="3"/>
      <c r="F518" s="3"/>
      <c r="G518" s="3"/>
      <c r="H518" s="3"/>
      <c r="I518" s="3"/>
      <c r="J518" s="3"/>
      <c r="K518" s="3"/>
    </row>
    <row r="519" spans="1:11" hidden="1" x14ac:dyDescent="0.2">
      <c r="A519" s="3"/>
      <c r="B519" s="3"/>
      <c r="C519" s="3"/>
      <c r="D519" s="3"/>
      <c r="E519" s="3"/>
      <c r="F519" s="3"/>
      <c r="G519" s="3"/>
      <c r="H519" s="3"/>
      <c r="I519" s="3"/>
      <c r="J519" s="3"/>
      <c r="K519" s="3"/>
    </row>
    <row r="520" spans="1:11" hidden="1" x14ac:dyDescent="0.2">
      <c r="A520" s="3"/>
      <c r="B520" s="3"/>
      <c r="C520" s="3"/>
      <c r="D520" s="3"/>
      <c r="E520" s="3"/>
      <c r="F520" s="3"/>
      <c r="G520" s="3"/>
      <c r="H520" s="3"/>
      <c r="I520" s="3"/>
      <c r="J520" s="3"/>
      <c r="K520" s="3"/>
    </row>
    <row r="521" spans="1:11" hidden="1" x14ac:dyDescent="0.2">
      <c r="A521" s="3"/>
      <c r="B521" s="3"/>
      <c r="C521" s="3"/>
      <c r="D521" s="3"/>
      <c r="E521" s="3"/>
      <c r="F521" s="3"/>
      <c r="G521" s="3"/>
      <c r="H521" s="3"/>
      <c r="I521" s="3"/>
      <c r="J521" s="3"/>
      <c r="K521" s="3"/>
    </row>
    <row r="522" spans="1:11" hidden="1" x14ac:dyDescent="0.2">
      <c r="A522" s="3"/>
      <c r="B522" s="3"/>
      <c r="C522" s="3"/>
      <c r="D522" s="3"/>
      <c r="E522" s="3"/>
      <c r="F522" s="3"/>
      <c r="G522" s="3"/>
      <c r="H522" s="3"/>
      <c r="I522" s="3"/>
      <c r="J522" s="3"/>
      <c r="K522" s="3"/>
    </row>
    <row r="523" spans="1:11" hidden="1" x14ac:dyDescent="0.2">
      <c r="A523" s="3"/>
      <c r="B523" s="3"/>
      <c r="C523" s="3"/>
      <c r="D523" s="3"/>
      <c r="E523" s="3"/>
      <c r="F523" s="3"/>
      <c r="G523" s="3"/>
      <c r="H523" s="3"/>
      <c r="I523" s="3"/>
      <c r="J523" s="3"/>
      <c r="K523" s="3"/>
    </row>
    <row r="524" spans="1:11" hidden="1" x14ac:dyDescent="0.2">
      <c r="A524" s="3"/>
      <c r="B524" s="3"/>
      <c r="C524" s="3"/>
      <c r="D524" s="3"/>
      <c r="E524" s="3"/>
      <c r="F524" s="3"/>
      <c r="G524" s="3"/>
      <c r="H524" s="3"/>
      <c r="I524" s="3"/>
      <c r="J524" s="3"/>
      <c r="K524" s="3"/>
    </row>
    <row r="525" spans="1:11" hidden="1" x14ac:dyDescent="0.2">
      <c r="A525" s="3"/>
      <c r="B525" s="3"/>
      <c r="C525" s="3"/>
      <c r="D525" s="3"/>
      <c r="E525" s="3"/>
      <c r="F525" s="3"/>
      <c r="G525" s="3"/>
      <c r="H525" s="3"/>
      <c r="I525" s="3"/>
      <c r="J525" s="3"/>
      <c r="K525" s="3"/>
    </row>
    <row r="526" spans="1:11" hidden="1" x14ac:dyDescent="0.2">
      <c r="A526" s="3"/>
      <c r="B526" s="3"/>
      <c r="C526" s="3"/>
      <c r="D526" s="3"/>
      <c r="E526" s="3"/>
      <c r="F526" s="3"/>
      <c r="G526" s="3"/>
      <c r="H526" s="3"/>
      <c r="I526" s="3"/>
      <c r="J526" s="3"/>
      <c r="K526" s="3"/>
    </row>
    <row r="527" spans="1:11" hidden="1" x14ac:dyDescent="0.2">
      <c r="A527" s="3"/>
      <c r="B527" s="3"/>
      <c r="C527" s="3"/>
      <c r="D527" s="3"/>
      <c r="E527" s="3"/>
      <c r="F527" s="3"/>
      <c r="G527" s="3"/>
      <c r="H527" s="3"/>
      <c r="I527" s="3"/>
      <c r="J527" s="3"/>
      <c r="K527" s="3"/>
    </row>
    <row r="528" spans="1:11" hidden="1" x14ac:dyDescent="0.2">
      <c r="A528" s="3"/>
      <c r="B528" s="3"/>
      <c r="C528" s="3"/>
      <c r="D528" s="3"/>
      <c r="E528" s="3"/>
      <c r="F528" s="3"/>
      <c r="G528" s="3"/>
      <c r="H528" s="3"/>
      <c r="I528" s="3"/>
      <c r="J528" s="3"/>
      <c r="K528" s="3"/>
    </row>
    <row r="529" spans="1:11" hidden="1" x14ac:dyDescent="0.2">
      <c r="A529" s="3"/>
      <c r="B529" s="3"/>
      <c r="C529" s="3"/>
      <c r="D529" s="3"/>
      <c r="E529" s="3"/>
      <c r="F529" s="3"/>
      <c r="G529" s="3"/>
      <c r="H529" s="3"/>
      <c r="I529" s="3"/>
      <c r="J529" s="3"/>
      <c r="K529" s="3"/>
    </row>
    <row r="530" spans="1:11" hidden="1" x14ac:dyDescent="0.2">
      <c r="A530" s="3"/>
      <c r="B530" s="3"/>
      <c r="C530" s="3"/>
      <c r="D530" s="3"/>
      <c r="E530" s="3"/>
      <c r="F530" s="3"/>
      <c r="G530" s="3"/>
      <c r="H530" s="3"/>
      <c r="I530" s="3"/>
      <c r="J530" s="3"/>
      <c r="K530" s="3"/>
    </row>
    <row r="531" spans="1:11" hidden="1" x14ac:dyDescent="0.2">
      <c r="A531" s="3"/>
      <c r="B531" s="3"/>
      <c r="C531" s="3"/>
      <c r="D531" s="3"/>
      <c r="E531" s="3"/>
      <c r="F531" s="3"/>
      <c r="G531" s="3"/>
      <c r="H531" s="3"/>
      <c r="I531" s="3"/>
      <c r="J531" s="3"/>
      <c r="K531" s="3"/>
    </row>
    <row r="532" spans="1:11" hidden="1" x14ac:dyDescent="0.2">
      <c r="A532" s="3"/>
      <c r="B532" s="3"/>
      <c r="C532" s="3"/>
      <c r="D532" s="3"/>
      <c r="E532" s="3"/>
      <c r="F532" s="3"/>
      <c r="G532" s="3"/>
      <c r="H532" s="3"/>
      <c r="I532" s="3"/>
      <c r="J532" s="3"/>
      <c r="K532" s="3"/>
    </row>
    <row r="533" spans="1:11" hidden="1" x14ac:dyDescent="0.2">
      <c r="A533" s="3"/>
      <c r="B533" s="3"/>
      <c r="C533" s="3"/>
      <c r="D533" s="3"/>
      <c r="E533" s="3"/>
      <c r="F533" s="3"/>
      <c r="G533" s="3"/>
      <c r="H533" s="3"/>
      <c r="I533" s="3"/>
      <c r="J533" s="3"/>
      <c r="K533" s="3"/>
    </row>
    <row r="534" spans="1:11" hidden="1" x14ac:dyDescent="0.2">
      <c r="A534" s="3"/>
      <c r="B534" s="3"/>
      <c r="C534" s="3"/>
      <c r="D534" s="3"/>
      <c r="E534" s="3"/>
      <c r="F534" s="3"/>
      <c r="G534" s="3"/>
      <c r="H534" s="3"/>
      <c r="I534" s="3"/>
      <c r="J534" s="3"/>
      <c r="K534" s="3"/>
    </row>
    <row r="535" spans="1:11" hidden="1" x14ac:dyDescent="0.2">
      <c r="A535" s="3"/>
      <c r="B535" s="3"/>
      <c r="C535" s="3"/>
      <c r="D535" s="3"/>
      <c r="E535" s="3"/>
      <c r="F535" s="3"/>
      <c r="G535" s="3"/>
      <c r="H535" s="3"/>
      <c r="I535" s="3"/>
      <c r="J535" s="3"/>
      <c r="K535" s="3"/>
    </row>
    <row r="536" spans="1:11" hidden="1" x14ac:dyDescent="0.2">
      <c r="A536" s="3"/>
      <c r="B536" s="3"/>
      <c r="C536" s="3"/>
      <c r="D536" s="3"/>
      <c r="E536" s="3"/>
      <c r="F536" s="3"/>
      <c r="G536" s="3"/>
      <c r="H536" s="3"/>
      <c r="I536" s="3"/>
      <c r="J536" s="3"/>
      <c r="K536" s="3"/>
    </row>
    <row r="537" spans="1:11" hidden="1" x14ac:dyDescent="0.2">
      <c r="A537" s="3"/>
      <c r="B537" s="3"/>
      <c r="C537" s="3"/>
      <c r="D537" s="3"/>
      <c r="E537" s="3"/>
      <c r="F537" s="3"/>
      <c r="G537" s="3"/>
      <c r="H537" s="3"/>
      <c r="I537" s="3"/>
      <c r="J537" s="3"/>
      <c r="K537" s="3"/>
    </row>
    <row r="538" spans="1:11" hidden="1" x14ac:dyDescent="0.2">
      <c r="A538" s="3"/>
      <c r="B538" s="3"/>
      <c r="C538" s="3"/>
      <c r="D538" s="3"/>
      <c r="E538" s="3"/>
      <c r="F538" s="3"/>
      <c r="G538" s="3"/>
      <c r="H538" s="3"/>
      <c r="I538" s="3"/>
      <c r="J538" s="3"/>
      <c r="K538" s="3"/>
    </row>
    <row r="539" spans="1:11" hidden="1" x14ac:dyDescent="0.2">
      <c r="A539" s="3"/>
      <c r="B539" s="3"/>
      <c r="C539" s="3"/>
      <c r="D539" s="3"/>
      <c r="E539" s="3"/>
      <c r="F539" s="3"/>
      <c r="G539" s="3"/>
      <c r="H539" s="3"/>
      <c r="I539" s="3"/>
      <c r="J539" s="3"/>
      <c r="K539" s="3"/>
    </row>
    <row r="540" spans="1:11" hidden="1" x14ac:dyDescent="0.2">
      <c r="A540" s="3"/>
      <c r="B540" s="3"/>
      <c r="C540" s="3"/>
      <c r="D540" s="3"/>
      <c r="E540" s="3"/>
      <c r="F540" s="3"/>
      <c r="G540" s="3"/>
      <c r="H540" s="3"/>
      <c r="I540" s="3"/>
      <c r="J540" s="3"/>
      <c r="K540" s="3"/>
    </row>
    <row r="541" spans="1:11" hidden="1" x14ac:dyDescent="0.2">
      <c r="A541" s="3"/>
      <c r="B541" s="3"/>
      <c r="C541" s="3"/>
      <c r="D541" s="3"/>
      <c r="E541" s="3"/>
      <c r="F541" s="3"/>
      <c r="G541" s="3"/>
      <c r="H541" s="3"/>
      <c r="I541" s="3"/>
      <c r="J541" s="3"/>
      <c r="K541" s="3"/>
    </row>
    <row r="542" spans="1:11" hidden="1" x14ac:dyDescent="0.2">
      <c r="A542" s="3"/>
      <c r="B542" s="3"/>
      <c r="C542" s="3"/>
      <c r="D542" s="3"/>
      <c r="E542" s="3"/>
      <c r="F542" s="3"/>
      <c r="G542" s="3"/>
      <c r="H542" s="3"/>
      <c r="I542" s="3"/>
      <c r="J542" s="3"/>
      <c r="K542" s="3"/>
    </row>
    <row r="543" spans="1:11" hidden="1" x14ac:dyDescent="0.2">
      <c r="A543" s="3"/>
      <c r="B543" s="3"/>
      <c r="C543" s="3"/>
      <c r="D543" s="3"/>
      <c r="E543" s="3"/>
      <c r="F543" s="3"/>
      <c r="G543" s="3"/>
      <c r="H543" s="3"/>
      <c r="I543" s="3"/>
      <c r="J543" s="3"/>
      <c r="K543" s="3"/>
    </row>
    <row r="544" spans="1:11" hidden="1" x14ac:dyDescent="0.2">
      <c r="A544" s="3"/>
      <c r="B544" s="3"/>
      <c r="C544" s="3"/>
      <c r="D544" s="3"/>
      <c r="E544" s="3"/>
      <c r="F544" s="3"/>
      <c r="G544" s="3"/>
      <c r="H544" s="3"/>
      <c r="I544" s="3"/>
      <c r="J544" s="3"/>
      <c r="K544" s="3"/>
    </row>
    <row r="545" spans="1:11" hidden="1" x14ac:dyDescent="0.2">
      <c r="A545" s="3"/>
      <c r="B545" s="3"/>
      <c r="C545" s="3"/>
      <c r="D545" s="3"/>
      <c r="E545" s="3"/>
      <c r="F545" s="3"/>
      <c r="G545" s="3"/>
      <c r="H545" s="3"/>
      <c r="I545" s="3"/>
      <c r="J545" s="3"/>
      <c r="K545" s="3"/>
    </row>
    <row r="546" spans="1:11" hidden="1" x14ac:dyDescent="0.2">
      <c r="A546" s="3"/>
      <c r="B546" s="3"/>
      <c r="C546" s="3"/>
      <c r="D546" s="3"/>
      <c r="E546" s="3"/>
      <c r="F546" s="3"/>
      <c r="G546" s="3"/>
      <c r="H546" s="3"/>
      <c r="I546" s="3"/>
      <c r="J546" s="3"/>
      <c r="K546" s="3"/>
    </row>
    <row r="547" spans="1:11" hidden="1" x14ac:dyDescent="0.2">
      <c r="A547" s="3"/>
      <c r="B547" s="3"/>
      <c r="C547" s="3"/>
      <c r="D547" s="3"/>
      <c r="E547" s="3"/>
      <c r="F547" s="3"/>
      <c r="G547" s="3"/>
      <c r="H547" s="3"/>
      <c r="I547" s="3"/>
      <c r="J547" s="3"/>
      <c r="K547" s="3"/>
    </row>
    <row r="548" spans="1:11" hidden="1" x14ac:dyDescent="0.2">
      <c r="A548" s="3"/>
      <c r="B548" s="3"/>
      <c r="C548" s="3"/>
      <c r="D548" s="3"/>
      <c r="E548" s="3"/>
      <c r="F548" s="3"/>
      <c r="G548" s="3"/>
      <c r="H548" s="3"/>
      <c r="I548" s="3"/>
      <c r="J548" s="3"/>
      <c r="K548" s="3"/>
    </row>
    <row r="549" spans="1:11" hidden="1" x14ac:dyDescent="0.2">
      <c r="A549" s="3"/>
      <c r="B549" s="3"/>
      <c r="C549" s="3"/>
      <c r="D549" s="3"/>
      <c r="E549" s="3"/>
      <c r="F549" s="3"/>
      <c r="G549" s="3"/>
      <c r="H549" s="3"/>
      <c r="I549" s="3"/>
      <c r="J549" s="3"/>
      <c r="K549" s="3"/>
    </row>
    <row r="550" spans="1:11" hidden="1" x14ac:dyDescent="0.2">
      <c r="A550" s="3"/>
      <c r="B550" s="3"/>
      <c r="C550" s="3"/>
      <c r="D550" s="3"/>
      <c r="E550" s="3"/>
      <c r="F550" s="3"/>
      <c r="G550" s="3"/>
      <c r="H550" s="3"/>
      <c r="I550" s="3"/>
      <c r="J550" s="3"/>
      <c r="K550" s="3"/>
    </row>
    <row r="551" spans="1:11" hidden="1" x14ac:dyDescent="0.2">
      <c r="A551" s="3"/>
      <c r="B551" s="3"/>
      <c r="C551" s="3"/>
      <c r="D551" s="3"/>
      <c r="E551" s="3"/>
      <c r="F551" s="3"/>
      <c r="G551" s="3"/>
      <c r="H551" s="3"/>
      <c r="I551" s="3"/>
      <c r="J551" s="3"/>
      <c r="K551" s="3"/>
    </row>
    <row r="552" spans="1:11" hidden="1" x14ac:dyDescent="0.2">
      <c r="A552" s="3"/>
      <c r="B552" s="3"/>
      <c r="C552" s="3"/>
      <c r="D552" s="3"/>
      <c r="E552" s="3"/>
      <c r="F552" s="3"/>
      <c r="G552" s="3"/>
      <c r="H552" s="3"/>
      <c r="I552" s="3"/>
      <c r="J552" s="3"/>
      <c r="K552" s="3"/>
    </row>
    <row r="553" spans="1:11" hidden="1" x14ac:dyDescent="0.2">
      <c r="A553" s="3"/>
      <c r="B553" s="3"/>
      <c r="C553" s="3"/>
      <c r="D553" s="3"/>
      <c r="E553" s="3"/>
      <c r="F553" s="3"/>
      <c r="G553" s="3"/>
      <c r="H553" s="3"/>
      <c r="I553" s="3"/>
      <c r="J553" s="3"/>
      <c r="K553" s="3"/>
    </row>
    <row r="554" spans="1:11" hidden="1" x14ac:dyDescent="0.2">
      <c r="A554" s="3"/>
      <c r="B554" s="3"/>
      <c r="C554" s="3"/>
      <c r="D554" s="3"/>
      <c r="E554" s="3"/>
      <c r="F554" s="3"/>
      <c r="G554" s="3"/>
      <c r="H554" s="3"/>
      <c r="I554" s="3"/>
      <c r="J554" s="3"/>
      <c r="K554" s="3"/>
    </row>
    <row r="555" spans="1:11" hidden="1" x14ac:dyDescent="0.2">
      <c r="A555" s="3"/>
      <c r="B555" s="3"/>
      <c r="C555" s="3"/>
      <c r="D555" s="3"/>
      <c r="E555" s="3"/>
      <c r="F555" s="3"/>
      <c r="G555" s="3"/>
      <c r="H555" s="3"/>
      <c r="I555" s="3"/>
      <c r="J555" s="3"/>
      <c r="K555" s="3"/>
    </row>
    <row r="556" spans="1:11" hidden="1" x14ac:dyDescent="0.2">
      <c r="A556" s="3"/>
      <c r="B556" s="3"/>
      <c r="C556" s="3"/>
      <c r="D556" s="3"/>
      <c r="E556" s="3"/>
      <c r="F556" s="3"/>
      <c r="G556" s="3"/>
      <c r="H556" s="3"/>
      <c r="I556" s="3"/>
      <c r="J556" s="3"/>
      <c r="K556" s="3"/>
    </row>
    <row r="557" spans="1:11" hidden="1" x14ac:dyDescent="0.2">
      <c r="A557" s="3"/>
      <c r="B557" s="3"/>
      <c r="C557" s="3"/>
      <c r="D557" s="3"/>
      <c r="E557" s="3"/>
      <c r="F557" s="3"/>
      <c r="G557" s="3"/>
      <c r="H557" s="3"/>
      <c r="I557" s="3"/>
      <c r="J557" s="3"/>
      <c r="K557" s="3"/>
    </row>
    <row r="558" spans="1:11" hidden="1" x14ac:dyDescent="0.2">
      <c r="A558" s="3"/>
      <c r="B558" s="3"/>
      <c r="C558" s="3"/>
      <c r="D558" s="3"/>
      <c r="E558" s="3"/>
      <c r="F558" s="3"/>
      <c r="G558" s="3"/>
      <c r="H558" s="3"/>
      <c r="I558" s="3"/>
      <c r="J558" s="3"/>
      <c r="K558" s="3"/>
    </row>
    <row r="559" spans="1:11" hidden="1" x14ac:dyDescent="0.2">
      <c r="A559" s="3"/>
      <c r="B559" s="3"/>
      <c r="C559" s="3"/>
      <c r="D559" s="3"/>
      <c r="E559" s="3"/>
      <c r="F559" s="3"/>
      <c r="G559" s="3"/>
      <c r="H559" s="3"/>
      <c r="I559" s="3"/>
      <c r="J559" s="3"/>
      <c r="K559" s="3"/>
    </row>
    <row r="560" spans="1:11" hidden="1" x14ac:dyDescent="0.2">
      <c r="A560" s="3"/>
      <c r="B560" s="3"/>
      <c r="C560" s="3"/>
      <c r="D560" s="3"/>
      <c r="E560" s="3"/>
      <c r="F560" s="3"/>
      <c r="G560" s="3"/>
      <c r="H560" s="3"/>
      <c r="I560" s="3"/>
      <c r="J560" s="3"/>
      <c r="K560" s="3"/>
    </row>
    <row r="561" spans="1:11" hidden="1" x14ac:dyDescent="0.2">
      <c r="A561" s="3"/>
      <c r="B561" s="3"/>
      <c r="C561" s="3"/>
      <c r="D561" s="3"/>
      <c r="E561" s="3"/>
      <c r="F561" s="3"/>
      <c r="G561" s="3"/>
      <c r="H561" s="3"/>
      <c r="I561" s="3"/>
      <c r="J561" s="3"/>
      <c r="K561" s="3"/>
    </row>
    <row r="562" spans="1:11" hidden="1" x14ac:dyDescent="0.2">
      <c r="A562" s="3"/>
      <c r="B562" s="3"/>
      <c r="C562" s="3"/>
      <c r="D562" s="3"/>
      <c r="E562" s="3"/>
      <c r="F562" s="3"/>
      <c r="G562" s="3"/>
      <c r="H562" s="3"/>
      <c r="I562" s="3"/>
      <c r="J562" s="3"/>
      <c r="K562" s="3"/>
    </row>
    <row r="563" spans="1:11" hidden="1" x14ac:dyDescent="0.2">
      <c r="A563" s="3"/>
      <c r="B563" s="3"/>
      <c r="C563" s="3"/>
      <c r="D563" s="3"/>
      <c r="E563" s="3"/>
      <c r="F563" s="3"/>
      <c r="G563" s="3"/>
      <c r="H563" s="3"/>
      <c r="I563" s="3"/>
      <c r="J563" s="3"/>
      <c r="K563" s="3"/>
    </row>
    <row r="564" spans="1:11" hidden="1" x14ac:dyDescent="0.2">
      <c r="A564" s="3"/>
      <c r="B564" s="3"/>
      <c r="C564" s="3"/>
      <c r="D564" s="3"/>
      <c r="E564" s="3"/>
      <c r="F564" s="3"/>
      <c r="G564" s="3"/>
      <c r="H564" s="3"/>
      <c r="I564" s="3"/>
      <c r="J564" s="3"/>
      <c r="K564" s="3"/>
    </row>
    <row r="565" spans="1:11" hidden="1" x14ac:dyDescent="0.2">
      <c r="A565" s="3"/>
      <c r="B565" s="3"/>
      <c r="C565" s="3"/>
      <c r="D565" s="3"/>
      <c r="E565" s="3"/>
      <c r="F565" s="3"/>
      <c r="G565" s="3"/>
      <c r="H565" s="3"/>
      <c r="I565" s="3"/>
      <c r="J565" s="3"/>
      <c r="K565" s="3"/>
    </row>
    <row r="566" spans="1:11" hidden="1" x14ac:dyDescent="0.2">
      <c r="A566" s="3"/>
      <c r="B566" s="3"/>
      <c r="C566" s="3"/>
      <c r="D566" s="3"/>
      <c r="E566" s="3"/>
      <c r="F566" s="3"/>
      <c r="G566" s="3"/>
      <c r="H566" s="3"/>
      <c r="I566" s="3"/>
      <c r="J566" s="3"/>
      <c r="K566" s="3"/>
    </row>
    <row r="567" spans="1:11" hidden="1" x14ac:dyDescent="0.2">
      <c r="A567" s="3"/>
      <c r="B567" s="3"/>
      <c r="C567" s="3"/>
      <c r="D567" s="3"/>
      <c r="E567" s="3"/>
      <c r="F567" s="3"/>
      <c r="G567" s="3"/>
      <c r="H567" s="3"/>
      <c r="I567" s="3"/>
      <c r="J567" s="3"/>
      <c r="K567" s="3"/>
    </row>
    <row r="568" spans="1:11" hidden="1" x14ac:dyDescent="0.2">
      <c r="A568" s="3"/>
      <c r="B568" s="3"/>
      <c r="C568" s="3"/>
      <c r="D568" s="3"/>
      <c r="E568" s="3"/>
      <c r="F568" s="3"/>
      <c r="G568" s="3"/>
      <c r="H568" s="3"/>
      <c r="I568" s="3"/>
      <c r="J568" s="3"/>
      <c r="K568" s="3"/>
    </row>
    <row r="569" spans="1:11" hidden="1" x14ac:dyDescent="0.2">
      <c r="A569" s="3"/>
      <c r="B569" s="3"/>
      <c r="C569" s="3"/>
      <c r="D569" s="3"/>
      <c r="E569" s="3"/>
      <c r="F569" s="3"/>
      <c r="G569" s="3"/>
      <c r="H569" s="3"/>
      <c r="I569" s="3"/>
      <c r="J569" s="3"/>
      <c r="K569" s="3"/>
    </row>
    <row r="570" spans="1:11" hidden="1" x14ac:dyDescent="0.2">
      <c r="A570" s="3"/>
      <c r="B570" s="3"/>
      <c r="C570" s="3"/>
      <c r="D570" s="3"/>
      <c r="E570" s="3"/>
      <c r="F570" s="3"/>
      <c r="G570" s="3"/>
      <c r="H570" s="3"/>
      <c r="I570" s="3"/>
      <c r="J570" s="3"/>
      <c r="K570" s="3"/>
    </row>
    <row r="571" spans="1:11" hidden="1" x14ac:dyDescent="0.2">
      <c r="A571" s="3"/>
      <c r="B571" s="3"/>
      <c r="C571" s="3"/>
      <c r="D571" s="3"/>
      <c r="E571" s="3"/>
      <c r="F571" s="3"/>
      <c r="G571" s="3"/>
      <c r="H571" s="3"/>
      <c r="I571" s="3"/>
      <c r="J571" s="3"/>
      <c r="K571" s="3"/>
    </row>
    <row r="572" spans="1:11" hidden="1" x14ac:dyDescent="0.2">
      <c r="A572" s="3"/>
      <c r="B572" s="3"/>
      <c r="C572" s="3"/>
      <c r="D572" s="3"/>
      <c r="E572" s="3"/>
      <c r="F572" s="3"/>
      <c r="G572" s="3"/>
      <c r="H572" s="3"/>
      <c r="I572" s="3"/>
      <c r="J572" s="3"/>
      <c r="K572" s="3"/>
    </row>
    <row r="573" spans="1:11" hidden="1" x14ac:dyDescent="0.2">
      <c r="A573" s="3"/>
      <c r="B573" s="3"/>
      <c r="C573" s="3"/>
      <c r="D573" s="3"/>
      <c r="E573" s="3"/>
      <c r="F573" s="3"/>
      <c r="G573" s="3"/>
      <c r="H573" s="3"/>
      <c r="I573" s="3"/>
      <c r="J573" s="3"/>
      <c r="K573" s="3"/>
    </row>
    <row r="574" spans="1:11" hidden="1" x14ac:dyDescent="0.2">
      <c r="A574" s="3"/>
      <c r="B574" s="3"/>
      <c r="C574" s="3"/>
      <c r="D574" s="3"/>
      <c r="E574" s="3"/>
      <c r="F574" s="3"/>
      <c r="G574" s="3"/>
      <c r="H574" s="3"/>
      <c r="I574" s="3"/>
      <c r="J574" s="3"/>
      <c r="K574" s="3"/>
    </row>
    <row r="575" spans="1:11" hidden="1" x14ac:dyDescent="0.2">
      <c r="A575" s="3"/>
      <c r="B575" s="3"/>
      <c r="C575" s="3"/>
      <c r="D575" s="3"/>
      <c r="E575" s="3"/>
      <c r="F575" s="3"/>
      <c r="G575" s="3"/>
      <c r="H575" s="3"/>
      <c r="I575" s="3"/>
      <c r="J575" s="3"/>
      <c r="K575" s="3"/>
    </row>
    <row r="576" spans="1:11" hidden="1" x14ac:dyDescent="0.2">
      <c r="A576" s="3"/>
      <c r="B576" s="3"/>
      <c r="C576" s="3"/>
      <c r="D576" s="3"/>
      <c r="E576" s="3"/>
      <c r="F576" s="3"/>
      <c r="G576" s="3"/>
      <c r="H576" s="3"/>
      <c r="I576" s="3"/>
      <c r="J576" s="3"/>
      <c r="K576" s="3"/>
    </row>
    <row r="577" spans="1:11" hidden="1" x14ac:dyDescent="0.2">
      <c r="A577" s="3"/>
      <c r="B577" s="3"/>
      <c r="C577" s="3"/>
      <c r="D577" s="3"/>
      <c r="E577" s="3"/>
      <c r="F577" s="3"/>
      <c r="G577" s="3"/>
      <c r="H577" s="3"/>
      <c r="I577" s="3"/>
      <c r="J577" s="3"/>
      <c r="K577" s="3"/>
    </row>
    <row r="578" spans="1:11" hidden="1" x14ac:dyDescent="0.2">
      <c r="A578" s="3"/>
      <c r="B578" s="3"/>
      <c r="C578" s="3"/>
      <c r="D578" s="3"/>
      <c r="E578" s="3"/>
      <c r="F578" s="3"/>
      <c r="G578" s="3"/>
      <c r="H578" s="3"/>
      <c r="I578" s="3"/>
      <c r="J578" s="3"/>
      <c r="K578" s="3"/>
    </row>
    <row r="579" spans="1:11" hidden="1" x14ac:dyDescent="0.2">
      <c r="A579" s="3"/>
      <c r="B579" s="3"/>
      <c r="C579" s="3"/>
      <c r="D579" s="3"/>
      <c r="E579" s="3"/>
      <c r="F579" s="3"/>
      <c r="G579" s="3"/>
      <c r="H579" s="3"/>
      <c r="I579" s="3"/>
      <c r="J579" s="3"/>
      <c r="K579" s="3"/>
    </row>
    <row r="580" spans="1:11" hidden="1" x14ac:dyDescent="0.2">
      <c r="A580" s="3"/>
      <c r="B580" s="3"/>
      <c r="C580" s="3"/>
      <c r="D580" s="3"/>
      <c r="E580" s="3"/>
      <c r="F580" s="3"/>
      <c r="G580" s="3"/>
      <c r="H580" s="3"/>
      <c r="I580" s="3"/>
      <c r="J580" s="3"/>
      <c r="K580" s="3"/>
    </row>
    <row r="581" spans="1:11" hidden="1" x14ac:dyDescent="0.2">
      <c r="A581" s="3"/>
      <c r="B581" s="3"/>
      <c r="C581" s="3"/>
      <c r="D581" s="3"/>
      <c r="E581" s="3"/>
      <c r="F581" s="3"/>
      <c r="G581" s="3"/>
      <c r="H581" s="3"/>
      <c r="I581" s="3"/>
      <c r="J581" s="3"/>
      <c r="K581" s="3"/>
    </row>
    <row r="582" spans="1:11" hidden="1" x14ac:dyDescent="0.2">
      <c r="A582" s="3"/>
      <c r="B582" s="3"/>
      <c r="C582" s="3"/>
      <c r="D582" s="3"/>
      <c r="E582" s="3"/>
      <c r="F582" s="3"/>
      <c r="G582" s="3"/>
      <c r="H582" s="3"/>
      <c r="I582" s="3"/>
      <c r="J582" s="3"/>
      <c r="K582" s="3"/>
    </row>
    <row r="583" spans="1:11" hidden="1" x14ac:dyDescent="0.2">
      <c r="A583" s="3"/>
      <c r="B583" s="3"/>
      <c r="C583" s="3"/>
      <c r="D583" s="3"/>
      <c r="E583" s="3"/>
      <c r="F583" s="3"/>
      <c r="G583" s="3"/>
      <c r="H583" s="3"/>
      <c r="I583" s="3"/>
      <c r="J583" s="3"/>
      <c r="K583" s="3"/>
    </row>
    <row r="584" spans="1:11" hidden="1" x14ac:dyDescent="0.2">
      <c r="A584" s="3"/>
      <c r="B584" s="3"/>
      <c r="C584" s="3"/>
      <c r="D584" s="3"/>
      <c r="E584" s="3"/>
      <c r="F584" s="3"/>
      <c r="G584" s="3"/>
      <c r="H584" s="3"/>
      <c r="I584" s="3"/>
      <c r="J584" s="3"/>
      <c r="K584" s="3"/>
    </row>
    <row r="585" spans="1:11" hidden="1" x14ac:dyDescent="0.2">
      <c r="A585" s="3"/>
      <c r="B585" s="3"/>
      <c r="C585" s="3"/>
      <c r="D585" s="3"/>
      <c r="E585" s="3"/>
      <c r="F585" s="3"/>
      <c r="G585" s="3"/>
      <c r="H585" s="3"/>
      <c r="I585" s="3"/>
      <c r="J585" s="3"/>
      <c r="K585" s="3"/>
    </row>
    <row r="586" spans="1:11" hidden="1" x14ac:dyDescent="0.2">
      <c r="A586" s="3"/>
      <c r="B586" s="3"/>
      <c r="C586" s="3"/>
      <c r="D586" s="3"/>
      <c r="E586" s="3"/>
      <c r="F586" s="3"/>
      <c r="G586" s="3"/>
      <c r="H586" s="3"/>
      <c r="I586" s="3"/>
      <c r="J586" s="3"/>
      <c r="K586" s="3"/>
    </row>
    <row r="587" spans="1:11" hidden="1" x14ac:dyDescent="0.2">
      <c r="A587" s="3"/>
      <c r="B587" s="3"/>
      <c r="C587" s="3"/>
      <c r="D587" s="3"/>
      <c r="E587" s="3"/>
      <c r="F587" s="3"/>
      <c r="G587" s="3"/>
      <c r="H587" s="3"/>
      <c r="I587" s="3"/>
      <c r="J587" s="3"/>
      <c r="K587" s="3"/>
    </row>
    <row r="588" spans="1:11" hidden="1" x14ac:dyDescent="0.2">
      <c r="A588" s="3"/>
      <c r="B588" s="3"/>
      <c r="C588" s="3"/>
      <c r="D588" s="3"/>
      <c r="E588" s="3"/>
      <c r="F588" s="3"/>
      <c r="G588" s="3"/>
      <c r="H588" s="3"/>
      <c r="I588" s="3"/>
      <c r="J588" s="3"/>
      <c r="K588" s="3"/>
    </row>
    <row r="589" spans="1:11" hidden="1" x14ac:dyDescent="0.2">
      <c r="A589" s="3"/>
      <c r="B589" s="3"/>
      <c r="C589" s="3"/>
      <c r="D589" s="3"/>
      <c r="E589" s="3"/>
      <c r="F589" s="3"/>
      <c r="G589" s="3"/>
      <c r="H589" s="3"/>
      <c r="I589" s="3"/>
      <c r="J589" s="3"/>
      <c r="K589" s="3"/>
    </row>
    <row r="590" spans="1:11" hidden="1" x14ac:dyDescent="0.2">
      <c r="A590" s="3"/>
      <c r="B590" s="3"/>
      <c r="C590" s="3"/>
      <c r="D590" s="3"/>
      <c r="E590" s="3"/>
      <c r="F590" s="3"/>
      <c r="G590" s="3"/>
      <c r="H590" s="3"/>
      <c r="I590" s="3"/>
      <c r="J590" s="3"/>
      <c r="K590" s="3"/>
    </row>
    <row r="591" spans="1:11" hidden="1" x14ac:dyDescent="0.2">
      <c r="A591" s="3"/>
      <c r="B591" s="3"/>
      <c r="C591" s="3"/>
      <c r="D591" s="3"/>
      <c r="E591" s="3"/>
      <c r="F591" s="3"/>
      <c r="G591" s="3"/>
      <c r="H591" s="3"/>
      <c r="I591" s="3"/>
      <c r="J591" s="3"/>
      <c r="K591" s="3"/>
    </row>
    <row r="592" spans="1:11" hidden="1" x14ac:dyDescent="0.2">
      <c r="A592" s="3"/>
      <c r="B592" s="3"/>
      <c r="C592" s="3"/>
      <c r="D592" s="3"/>
      <c r="E592" s="3"/>
      <c r="F592" s="3"/>
      <c r="G592" s="3"/>
      <c r="H592" s="3"/>
      <c r="I592" s="3"/>
      <c r="J592" s="3"/>
      <c r="K592" s="3"/>
    </row>
    <row r="593" spans="1:11" hidden="1" x14ac:dyDescent="0.2">
      <c r="A593" s="3"/>
      <c r="B593" s="3"/>
      <c r="C593" s="3"/>
      <c r="D593" s="3"/>
      <c r="E593" s="3"/>
      <c r="F593" s="3"/>
      <c r="G593" s="3"/>
      <c r="H593" s="3"/>
      <c r="I593" s="3"/>
      <c r="J593" s="3"/>
      <c r="K593" s="3"/>
    </row>
    <row r="594" spans="1:11" hidden="1" x14ac:dyDescent="0.2">
      <c r="A594" s="3"/>
      <c r="B594" s="3"/>
      <c r="C594" s="3"/>
      <c r="D594" s="3"/>
      <c r="E594" s="3"/>
      <c r="F594" s="3"/>
      <c r="G594" s="3"/>
      <c r="H594" s="3"/>
      <c r="I594" s="3"/>
      <c r="J594" s="3"/>
      <c r="K594" s="3"/>
    </row>
    <row r="595" spans="1:11" hidden="1" x14ac:dyDescent="0.2">
      <c r="A595" s="3"/>
      <c r="B595" s="3"/>
      <c r="C595" s="3"/>
      <c r="D595" s="3"/>
      <c r="E595" s="3"/>
      <c r="F595" s="3"/>
      <c r="G595" s="3"/>
      <c r="H595" s="3"/>
      <c r="I595" s="3"/>
      <c r="J595" s="3"/>
      <c r="K595" s="3"/>
    </row>
    <row r="596" spans="1:11" hidden="1" x14ac:dyDescent="0.2">
      <c r="A596" s="3"/>
      <c r="B596" s="3"/>
      <c r="C596" s="3"/>
      <c r="D596" s="3"/>
      <c r="E596" s="3"/>
      <c r="F596" s="3"/>
      <c r="G596" s="3"/>
      <c r="H596" s="3"/>
      <c r="I596" s="3"/>
      <c r="J596" s="3"/>
      <c r="K596" s="3"/>
    </row>
    <row r="597" spans="1:11" hidden="1" x14ac:dyDescent="0.2">
      <c r="A597" s="3"/>
      <c r="B597" s="3"/>
      <c r="C597" s="3"/>
      <c r="D597" s="3"/>
      <c r="E597" s="3"/>
      <c r="F597" s="3"/>
      <c r="G597" s="3"/>
      <c r="H597" s="3"/>
      <c r="I597" s="3"/>
      <c r="J597" s="3"/>
      <c r="K597" s="3"/>
    </row>
    <row r="598" spans="1:11" hidden="1" x14ac:dyDescent="0.2">
      <c r="A598" s="3"/>
      <c r="B598" s="3"/>
      <c r="C598" s="3"/>
      <c r="D598" s="3"/>
      <c r="E598" s="3"/>
      <c r="F598" s="3"/>
      <c r="G598" s="3"/>
      <c r="H598" s="3"/>
      <c r="I598" s="3"/>
      <c r="J598" s="3"/>
      <c r="K598" s="3"/>
    </row>
    <row r="599" spans="1:11" hidden="1" x14ac:dyDescent="0.2">
      <c r="A599" s="3"/>
      <c r="B599" s="3"/>
      <c r="C599" s="3"/>
      <c r="D599" s="3"/>
      <c r="E599" s="3"/>
      <c r="F599" s="3"/>
      <c r="G599" s="3"/>
      <c r="H599" s="3"/>
      <c r="I599" s="3"/>
      <c r="J599" s="3"/>
      <c r="K599" s="3"/>
    </row>
    <row r="600" spans="1:11" hidden="1" x14ac:dyDescent="0.2">
      <c r="A600" s="3"/>
      <c r="B600" s="3"/>
      <c r="C600" s="3"/>
      <c r="D600" s="3"/>
      <c r="E600" s="3"/>
      <c r="F600" s="3"/>
      <c r="G600" s="3"/>
      <c r="H600" s="3"/>
      <c r="I600" s="3"/>
      <c r="J600" s="3"/>
      <c r="K600" s="3"/>
    </row>
    <row r="601" spans="1:11" hidden="1" x14ac:dyDescent="0.2">
      <c r="A601" s="3"/>
      <c r="B601" s="3"/>
      <c r="C601" s="3"/>
      <c r="D601" s="3"/>
      <c r="E601" s="3"/>
      <c r="F601" s="3"/>
      <c r="G601" s="3"/>
      <c r="H601" s="3"/>
      <c r="I601" s="3"/>
      <c r="J601" s="3"/>
      <c r="K601" s="3"/>
    </row>
    <row r="602" spans="1:11" hidden="1" x14ac:dyDescent="0.2">
      <c r="A602" s="3"/>
      <c r="B602" s="3"/>
      <c r="C602" s="3"/>
      <c r="D602" s="3"/>
      <c r="E602" s="3"/>
      <c r="F602" s="3"/>
      <c r="G602" s="3"/>
      <c r="H602" s="3"/>
      <c r="I602" s="3"/>
      <c r="J602" s="3"/>
      <c r="K602" s="3"/>
    </row>
    <row r="603" spans="1:11" hidden="1" x14ac:dyDescent="0.2">
      <c r="A603" s="3"/>
      <c r="B603" s="3"/>
      <c r="C603" s="3"/>
      <c r="D603" s="3"/>
      <c r="E603" s="3"/>
      <c r="F603" s="3"/>
      <c r="G603" s="3"/>
      <c r="H603" s="3"/>
      <c r="I603" s="3"/>
      <c r="J603" s="3"/>
      <c r="K603" s="3"/>
    </row>
    <row r="604" spans="1:11" hidden="1" x14ac:dyDescent="0.2">
      <c r="A604" s="3"/>
      <c r="B604" s="3"/>
      <c r="C604" s="3"/>
      <c r="D604" s="3"/>
      <c r="E604" s="3"/>
      <c r="F604" s="3"/>
      <c r="G604" s="3"/>
      <c r="H604" s="3"/>
      <c r="I604" s="3"/>
      <c r="J604" s="3"/>
      <c r="K604" s="3"/>
    </row>
    <row r="605" spans="1:11" hidden="1" x14ac:dyDescent="0.2">
      <c r="A605" s="3"/>
      <c r="B605" s="3"/>
      <c r="C605" s="3"/>
      <c r="D605" s="3"/>
      <c r="E605" s="3"/>
      <c r="F605" s="3"/>
      <c r="G605" s="3"/>
      <c r="H605" s="3"/>
      <c r="I605" s="3"/>
      <c r="J605" s="3"/>
      <c r="K605" s="3"/>
    </row>
    <row r="606" spans="1:11" hidden="1" x14ac:dyDescent="0.2">
      <c r="A606" s="3"/>
      <c r="B606" s="3"/>
      <c r="C606" s="3"/>
      <c r="D606" s="3"/>
      <c r="E606" s="3"/>
      <c r="F606" s="3"/>
      <c r="G606" s="3"/>
      <c r="H606" s="3"/>
      <c r="I606" s="3"/>
      <c r="J606" s="3"/>
      <c r="K606" s="3"/>
    </row>
    <row r="607" spans="1:11" hidden="1" x14ac:dyDescent="0.2">
      <c r="A607" s="3"/>
      <c r="B607" s="3"/>
      <c r="C607" s="3"/>
      <c r="D607" s="3"/>
      <c r="E607" s="3"/>
      <c r="F607" s="3"/>
      <c r="G607" s="3"/>
      <c r="H607" s="3"/>
      <c r="I607" s="3"/>
      <c r="J607" s="3"/>
      <c r="K607" s="3"/>
    </row>
    <row r="608" spans="1:11" hidden="1" x14ac:dyDescent="0.2">
      <c r="A608" s="3"/>
      <c r="B608" s="3"/>
      <c r="C608" s="3"/>
      <c r="D608" s="3"/>
      <c r="E608" s="3"/>
      <c r="F608" s="3"/>
      <c r="G608" s="3"/>
      <c r="H608" s="3"/>
      <c r="I608" s="3"/>
      <c r="J608" s="3"/>
      <c r="K608" s="3"/>
    </row>
    <row r="609" spans="1:11" hidden="1" x14ac:dyDescent="0.2">
      <c r="A609" s="3"/>
      <c r="B609" s="3"/>
      <c r="C609" s="3"/>
      <c r="D609" s="3"/>
      <c r="E609" s="3"/>
      <c r="F609" s="3"/>
      <c r="G609" s="3"/>
      <c r="H609" s="3"/>
      <c r="I609" s="3"/>
      <c r="J609" s="3"/>
      <c r="K609" s="3"/>
    </row>
    <row r="610" spans="1:11" hidden="1" x14ac:dyDescent="0.2">
      <c r="A610" s="3"/>
      <c r="B610" s="3"/>
      <c r="C610" s="3"/>
      <c r="D610" s="3"/>
      <c r="E610" s="3"/>
      <c r="F610" s="3"/>
      <c r="G610" s="3"/>
      <c r="H610" s="3"/>
      <c r="I610" s="3"/>
      <c r="J610" s="3"/>
      <c r="K610" s="3"/>
    </row>
    <row r="611" spans="1:11" hidden="1" x14ac:dyDescent="0.2">
      <c r="A611" s="3"/>
      <c r="B611" s="3"/>
      <c r="C611" s="3"/>
      <c r="D611" s="3"/>
      <c r="E611" s="3"/>
      <c r="F611" s="3"/>
      <c r="G611" s="3"/>
      <c r="H611" s="3"/>
      <c r="I611" s="3"/>
      <c r="J611" s="3"/>
      <c r="K611" s="3"/>
    </row>
    <row r="612" spans="1:11" hidden="1" x14ac:dyDescent="0.2">
      <c r="A612" s="3"/>
      <c r="B612" s="3"/>
      <c r="C612" s="3"/>
      <c r="D612" s="3"/>
      <c r="E612" s="3"/>
      <c r="F612" s="3"/>
      <c r="G612" s="3"/>
      <c r="H612" s="3"/>
      <c r="I612" s="3"/>
      <c r="J612" s="3"/>
      <c r="K612" s="3"/>
    </row>
    <row r="613" spans="1:11" hidden="1" x14ac:dyDescent="0.2">
      <c r="A613" s="3"/>
      <c r="B613" s="3"/>
      <c r="C613" s="3"/>
      <c r="D613" s="3"/>
      <c r="E613" s="3"/>
      <c r="F613" s="3"/>
      <c r="G613" s="3"/>
      <c r="H613" s="3"/>
      <c r="I613" s="3"/>
      <c r="J613" s="3"/>
      <c r="K613" s="3"/>
    </row>
    <row r="614" spans="1:11" hidden="1" x14ac:dyDescent="0.2">
      <c r="A614" s="3"/>
      <c r="B614" s="3"/>
      <c r="C614" s="3"/>
      <c r="D614" s="3"/>
      <c r="E614" s="3"/>
      <c r="F614" s="3"/>
      <c r="G614" s="3"/>
      <c r="H614" s="3"/>
      <c r="I614" s="3"/>
      <c r="J614" s="3"/>
      <c r="K614" s="3"/>
    </row>
    <row r="615" spans="1:11" hidden="1" x14ac:dyDescent="0.2">
      <c r="A615" s="3"/>
      <c r="B615" s="3"/>
      <c r="C615" s="3"/>
      <c r="D615" s="3"/>
      <c r="E615" s="3"/>
      <c r="F615" s="3"/>
      <c r="G615" s="3"/>
      <c r="H615" s="3"/>
      <c r="I615" s="3"/>
      <c r="J615" s="3"/>
      <c r="K615" s="3"/>
    </row>
    <row r="616" spans="1:11" hidden="1" x14ac:dyDescent="0.2">
      <c r="A616" s="3"/>
      <c r="B616" s="3"/>
      <c r="C616" s="3"/>
      <c r="D616" s="3"/>
      <c r="E616" s="3"/>
      <c r="F616" s="3"/>
      <c r="G616" s="3"/>
      <c r="H616" s="3"/>
      <c r="I616" s="3"/>
      <c r="J616" s="3"/>
      <c r="K616" s="3"/>
    </row>
    <row r="617" spans="1:11" hidden="1" x14ac:dyDescent="0.2">
      <c r="A617" s="3"/>
      <c r="B617" s="3"/>
      <c r="C617" s="3"/>
      <c r="D617" s="3"/>
      <c r="E617" s="3"/>
      <c r="F617" s="3"/>
      <c r="G617" s="3"/>
      <c r="H617" s="3"/>
      <c r="I617" s="3"/>
      <c r="J617" s="3"/>
      <c r="K617" s="3"/>
    </row>
    <row r="618" spans="1:11" hidden="1" x14ac:dyDescent="0.2">
      <c r="A618" s="3"/>
      <c r="B618" s="3"/>
      <c r="C618" s="3"/>
      <c r="D618" s="3"/>
      <c r="E618" s="3"/>
      <c r="F618" s="3"/>
      <c r="G618" s="3"/>
      <c r="H618" s="3"/>
      <c r="I618" s="3"/>
      <c r="J618" s="3"/>
      <c r="K618" s="3"/>
    </row>
    <row r="619" spans="1:11" hidden="1" x14ac:dyDescent="0.2">
      <c r="A619" s="3"/>
      <c r="B619" s="3"/>
      <c r="C619" s="3"/>
      <c r="D619" s="3"/>
      <c r="E619" s="3"/>
      <c r="F619" s="3"/>
      <c r="G619" s="3"/>
      <c r="H619" s="3"/>
      <c r="I619" s="3"/>
      <c r="J619" s="3"/>
      <c r="K619" s="3"/>
    </row>
    <row r="620" spans="1:11" hidden="1" x14ac:dyDescent="0.2">
      <c r="A620" s="3"/>
      <c r="B620" s="3"/>
      <c r="C620" s="3"/>
      <c r="D620" s="3"/>
      <c r="E620" s="3"/>
      <c r="F620" s="3"/>
      <c r="G620" s="3"/>
      <c r="H620" s="3"/>
      <c r="I620" s="3"/>
      <c r="J620" s="3"/>
      <c r="K620" s="3"/>
    </row>
    <row r="621" spans="1:11" hidden="1" x14ac:dyDescent="0.2">
      <c r="A621" s="3"/>
      <c r="B621" s="3"/>
      <c r="C621" s="3"/>
      <c r="D621" s="3"/>
      <c r="E621" s="3"/>
      <c r="F621" s="3"/>
      <c r="G621" s="3"/>
      <c r="H621" s="3"/>
      <c r="I621" s="3"/>
      <c r="J621" s="3"/>
      <c r="K621" s="3"/>
    </row>
    <row r="622" spans="1:11" hidden="1" x14ac:dyDescent="0.2">
      <c r="A622" s="3"/>
      <c r="B622" s="3"/>
      <c r="C622" s="3"/>
      <c r="D622" s="3"/>
      <c r="E622" s="3"/>
      <c r="F622" s="3"/>
      <c r="G622" s="3"/>
      <c r="H622" s="3"/>
      <c r="I622" s="3"/>
      <c r="J622" s="3"/>
      <c r="K622" s="3"/>
    </row>
    <row r="623" spans="1:11" hidden="1" x14ac:dyDescent="0.2">
      <c r="A623" s="3"/>
      <c r="B623" s="3"/>
      <c r="C623" s="3"/>
      <c r="D623" s="3"/>
      <c r="E623" s="3"/>
      <c r="F623" s="3"/>
      <c r="G623" s="3"/>
      <c r="H623" s="3"/>
      <c r="I623" s="3"/>
      <c r="J623" s="3"/>
      <c r="K623" s="3"/>
    </row>
    <row r="624" spans="1:11" hidden="1" x14ac:dyDescent="0.2">
      <c r="A624" s="3"/>
      <c r="B624" s="3"/>
      <c r="C624" s="3"/>
      <c r="D624" s="3"/>
      <c r="E624" s="3"/>
      <c r="F624" s="3"/>
      <c r="G624" s="3"/>
      <c r="H624" s="3"/>
      <c r="I624" s="3"/>
      <c r="J624" s="3"/>
      <c r="K624" s="3"/>
    </row>
    <row r="625" spans="1:11" hidden="1" x14ac:dyDescent="0.2">
      <c r="A625" s="3"/>
      <c r="B625" s="3"/>
      <c r="C625" s="3"/>
      <c r="D625" s="3"/>
      <c r="E625" s="3"/>
      <c r="F625" s="3"/>
      <c r="G625" s="3"/>
      <c r="H625" s="3"/>
      <c r="I625" s="3"/>
      <c r="J625" s="3"/>
      <c r="K625" s="3"/>
    </row>
    <row r="626" spans="1:11" hidden="1" x14ac:dyDescent="0.2">
      <c r="A626" s="3"/>
      <c r="B626" s="3"/>
      <c r="C626" s="3"/>
      <c r="D626" s="3"/>
      <c r="E626" s="3"/>
      <c r="F626" s="3"/>
      <c r="G626" s="3"/>
      <c r="H626" s="3"/>
      <c r="I626" s="3"/>
      <c r="J626" s="3"/>
      <c r="K626" s="3"/>
    </row>
    <row r="627" spans="1:11" hidden="1" x14ac:dyDescent="0.2">
      <c r="A627" s="3"/>
      <c r="B627" s="3"/>
      <c r="C627" s="3"/>
      <c r="D627" s="3"/>
      <c r="E627" s="3"/>
      <c r="F627" s="3"/>
      <c r="G627" s="3"/>
      <c r="H627" s="3"/>
      <c r="I627" s="3"/>
      <c r="J627" s="3"/>
      <c r="K627" s="3"/>
    </row>
    <row r="628" spans="1:11" hidden="1" x14ac:dyDescent="0.2">
      <c r="A628" s="3"/>
      <c r="B628" s="3"/>
      <c r="C628" s="3"/>
      <c r="D628" s="3"/>
      <c r="E628" s="3"/>
      <c r="F628" s="3"/>
      <c r="G628" s="3"/>
      <c r="H628" s="3"/>
      <c r="I628" s="3"/>
      <c r="J628" s="3"/>
      <c r="K628" s="3"/>
    </row>
    <row r="629" spans="1:11" hidden="1" x14ac:dyDescent="0.2">
      <c r="A629" s="3"/>
      <c r="B629" s="3"/>
      <c r="C629" s="3"/>
      <c r="D629" s="3"/>
      <c r="E629" s="3"/>
      <c r="F629" s="3"/>
      <c r="G629" s="3"/>
      <c r="H629" s="3"/>
      <c r="I629" s="3"/>
      <c r="J629" s="3"/>
      <c r="K629" s="3"/>
    </row>
    <row r="630" spans="1:11" hidden="1" x14ac:dyDescent="0.2">
      <c r="A630" s="3"/>
      <c r="B630" s="3"/>
      <c r="C630" s="3"/>
      <c r="D630" s="3"/>
      <c r="E630" s="3"/>
      <c r="F630" s="3"/>
      <c r="G630" s="3"/>
      <c r="H630" s="3"/>
      <c r="I630" s="3"/>
      <c r="J630" s="3"/>
      <c r="K630" s="3"/>
    </row>
    <row r="631" spans="1:11" hidden="1" x14ac:dyDescent="0.2">
      <c r="A631" s="3"/>
      <c r="B631" s="3"/>
      <c r="C631" s="3"/>
      <c r="D631" s="3"/>
      <c r="E631" s="3"/>
      <c r="F631" s="3"/>
      <c r="G631" s="3"/>
      <c r="H631" s="3"/>
      <c r="I631" s="3"/>
      <c r="J631" s="3"/>
      <c r="K631" s="3"/>
    </row>
    <row r="632" spans="1:11" hidden="1" x14ac:dyDescent="0.2">
      <c r="A632" s="3"/>
      <c r="B632" s="3"/>
      <c r="C632" s="3"/>
      <c r="D632" s="3"/>
      <c r="E632" s="3"/>
      <c r="F632" s="3"/>
      <c r="G632" s="3"/>
      <c r="H632" s="3"/>
      <c r="I632" s="3"/>
      <c r="J632" s="3"/>
      <c r="K632" s="3"/>
    </row>
    <row r="633" spans="1:11" hidden="1" x14ac:dyDescent="0.2">
      <c r="A633" s="3"/>
      <c r="B633" s="3"/>
      <c r="C633" s="3"/>
      <c r="D633" s="3"/>
      <c r="E633" s="3"/>
      <c r="F633" s="3"/>
      <c r="G633" s="3"/>
      <c r="H633" s="3"/>
      <c r="I633" s="3"/>
      <c r="J633" s="3"/>
      <c r="K633" s="3"/>
    </row>
    <row r="634" spans="1:11" hidden="1" x14ac:dyDescent="0.2">
      <c r="A634" s="3"/>
      <c r="B634" s="3"/>
      <c r="C634" s="3"/>
      <c r="D634" s="3"/>
      <c r="E634" s="3"/>
      <c r="F634" s="3"/>
      <c r="G634" s="3"/>
      <c r="H634" s="3"/>
      <c r="I634" s="3"/>
      <c r="J634" s="3"/>
      <c r="K634" s="3"/>
    </row>
    <row r="635" spans="1:11" hidden="1" x14ac:dyDescent="0.2">
      <c r="A635" s="3"/>
      <c r="B635" s="3"/>
      <c r="C635" s="3"/>
      <c r="D635" s="3"/>
      <c r="E635" s="3"/>
      <c r="F635" s="3"/>
      <c r="G635" s="3"/>
      <c r="H635" s="3"/>
      <c r="I635" s="3"/>
      <c r="J635" s="3"/>
      <c r="K635" s="3"/>
    </row>
    <row r="636" spans="1:11" hidden="1" x14ac:dyDescent="0.2">
      <c r="A636" s="3"/>
      <c r="B636" s="3"/>
      <c r="C636" s="3"/>
      <c r="D636" s="3"/>
      <c r="E636" s="3"/>
      <c r="F636" s="3"/>
      <c r="G636" s="3"/>
      <c r="H636" s="3"/>
      <c r="I636" s="3"/>
      <c r="J636" s="3"/>
      <c r="K636" s="3"/>
    </row>
    <row r="637" spans="1:11" hidden="1" x14ac:dyDescent="0.2">
      <c r="A637" s="3"/>
      <c r="B637" s="3"/>
      <c r="C637" s="3"/>
      <c r="D637" s="3"/>
      <c r="E637" s="3"/>
      <c r="F637" s="3"/>
      <c r="G637" s="3"/>
      <c r="H637" s="3"/>
      <c r="I637" s="3"/>
      <c r="J637" s="3"/>
      <c r="K637" s="3"/>
    </row>
    <row r="638" spans="1:11" hidden="1" x14ac:dyDescent="0.2">
      <c r="A638" s="3"/>
      <c r="B638" s="3"/>
      <c r="C638" s="3"/>
      <c r="D638" s="3"/>
      <c r="E638" s="3"/>
      <c r="F638" s="3"/>
      <c r="G638" s="3"/>
      <c r="H638" s="3"/>
      <c r="I638" s="3"/>
      <c r="J638" s="3"/>
      <c r="K638" s="3"/>
    </row>
    <row r="639" spans="1:11" hidden="1" x14ac:dyDescent="0.2">
      <c r="A639" s="3"/>
      <c r="B639" s="3"/>
      <c r="C639" s="3"/>
      <c r="D639" s="3"/>
      <c r="E639" s="3"/>
      <c r="F639" s="3"/>
      <c r="G639" s="3"/>
      <c r="H639" s="3"/>
      <c r="I639" s="3"/>
      <c r="J639" s="3"/>
      <c r="K639" s="3"/>
    </row>
    <row r="640" spans="1:11" hidden="1" x14ac:dyDescent="0.2">
      <c r="A640" s="3"/>
      <c r="B640" s="3"/>
      <c r="C640" s="3"/>
      <c r="D640" s="3"/>
      <c r="E640" s="3"/>
      <c r="F640" s="3"/>
      <c r="G640" s="3"/>
      <c r="H640" s="3"/>
      <c r="I640" s="3"/>
      <c r="J640" s="3"/>
      <c r="K640" s="3"/>
    </row>
    <row r="641" spans="1:11" hidden="1" x14ac:dyDescent="0.2">
      <c r="A641" s="3"/>
      <c r="B641" s="3"/>
      <c r="C641" s="3"/>
      <c r="D641" s="3"/>
      <c r="E641" s="3"/>
      <c r="F641" s="3"/>
      <c r="G641" s="3"/>
      <c r="H641" s="3"/>
      <c r="I641" s="3"/>
      <c r="J641" s="3"/>
      <c r="K641" s="3"/>
    </row>
    <row r="642" spans="1:11" hidden="1" x14ac:dyDescent="0.2">
      <c r="A642" s="3"/>
      <c r="B642" s="3"/>
      <c r="C642" s="3"/>
      <c r="D642" s="3"/>
      <c r="E642" s="3"/>
      <c r="F642" s="3"/>
      <c r="G642" s="3"/>
      <c r="H642" s="3"/>
      <c r="I642" s="3"/>
      <c r="J642" s="3"/>
      <c r="K642" s="3"/>
    </row>
    <row r="643" spans="1:11" hidden="1" x14ac:dyDescent="0.2">
      <c r="A643" s="3"/>
      <c r="B643" s="3"/>
      <c r="C643" s="3"/>
      <c r="D643" s="3"/>
      <c r="E643" s="3"/>
      <c r="F643" s="3"/>
      <c r="G643" s="3"/>
      <c r="H643" s="3"/>
      <c r="I643" s="3"/>
      <c r="J643" s="3"/>
      <c r="K643" s="3"/>
    </row>
    <row r="644" spans="1:11" hidden="1" x14ac:dyDescent="0.2">
      <c r="A644" s="3"/>
      <c r="B644" s="3"/>
      <c r="C644" s="3"/>
      <c r="D644" s="3"/>
      <c r="E644" s="3"/>
      <c r="F644" s="3"/>
      <c r="G644" s="3"/>
      <c r="H644" s="3"/>
      <c r="I644" s="3"/>
      <c r="J644" s="3"/>
      <c r="K644" s="3"/>
    </row>
    <row r="645" spans="1:11" hidden="1" x14ac:dyDescent="0.2">
      <c r="A645" s="3"/>
      <c r="B645" s="3"/>
      <c r="C645" s="3"/>
      <c r="D645" s="3"/>
      <c r="E645" s="3"/>
      <c r="F645" s="3"/>
      <c r="G645" s="3"/>
      <c r="H645" s="3"/>
      <c r="I645" s="3"/>
      <c r="J645" s="3"/>
      <c r="K645" s="3"/>
    </row>
    <row r="646" spans="1:11" hidden="1" x14ac:dyDescent="0.2">
      <c r="A646" s="3"/>
      <c r="B646" s="3"/>
      <c r="C646" s="3"/>
      <c r="D646" s="3"/>
      <c r="E646" s="3"/>
      <c r="F646" s="3"/>
      <c r="G646" s="3"/>
      <c r="H646" s="3"/>
      <c r="I646" s="3"/>
      <c r="J646" s="3"/>
      <c r="K646" s="3"/>
    </row>
    <row r="647" spans="1:11" hidden="1" x14ac:dyDescent="0.2">
      <c r="A647" s="3"/>
      <c r="B647" s="3"/>
      <c r="C647" s="3"/>
      <c r="D647" s="3"/>
      <c r="E647" s="3"/>
      <c r="F647" s="3"/>
      <c r="G647" s="3"/>
      <c r="H647" s="3"/>
      <c r="I647" s="3"/>
      <c r="J647" s="3"/>
      <c r="K647" s="3"/>
    </row>
    <row r="648" spans="1:11" hidden="1" x14ac:dyDescent="0.2">
      <c r="A648" s="3"/>
      <c r="B648" s="3"/>
      <c r="C648" s="3"/>
      <c r="D648" s="3"/>
      <c r="E648" s="3"/>
      <c r="F648" s="3"/>
      <c r="G648" s="3"/>
      <c r="H648" s="3"/>
      <c r="I648" s="3"/>
      <c r="J648" s="3"/>
      <c r="K648" s="3"/>
    </row>
    <row r="649" spans="1:11" hidden="1" x14ac:dyDescent="0.2">
      <c r="A649" s="3"/>
      <c r="B649" s="3"/>
      <c r="C649" s="3"/>
      <c r="D649" s="3"/>
      <c r="E649" s="3"/>
      <c r="F649" s="3"/>
      <c r="G649" s="3"/>
      <c r="H649" s="3"/>
      <c r="I649" s="3"/>
      <c r="J649" s="3"/>
      <c r="K649" s="3"/>
    </row>
    <row r="650" spans="1:11" hidden="1" x14ac:dyDescent="0.2">
      <c r="A650" s="3"/>
      <c r="B650" s="3"/>
      <c r="C650" s="3"/>
      <c r="D650" s="3"/>
      <c r="E650" s="3"/>
      <c r="F650" s="3"/>
      <c r="G650" s="3"/>
      <c r="H650" s="3"/>
      <c r="I650" s="3"/>
      <c r="J650" s="3"/>
      <c r="K650" s="3"/>
    </row>
    <row r="651" spans="1:11" hidden="1" x14ac:dyDescent="0.2">
      <c r="A651" s="3"/>
      <c r="B651" s="3"/>
      <c r="C651" s="3"/>
      <c r="D651" s="3"/>
      <c r="E651" s="3"/>
      <c r="F651" s="3"/>
      <c r="G651" s="3"/>
      <c r="H651" s="3"/>
      <c r="I651" s="3"/>
      <c r="J651" s="3"/>
      <c r="K651" s="3"/>
    </row>
    <row r="652" spans="1:11" hidden="1" x14ac:dyDescent="0.2">
      <c r="A652" s="3"/>
      <c r="B652" s="3"/>
      <c r="C652" s="3"/>
      <c r="D652" s="3"/>
      <c r="E652" s="3"/>
      <c r="F652" s="3"/>
      <c r="G652" s="3"/>
      <c r="H652" s="3"/>
      <c r="I652" s="3"/>
      <c r="J652" s="3"/>
      <c r="K652" s="3"/>
    </row>
    <row r="653" spans="1:11" hidden="1" x14ac:dyDescent="0.2">
      <c r="A653" s="3"/>
      <c r="B653" s="3"/>
      <c r="C653" s="3"/>
      <c r="D653" s="3"/>
      <c r="E653" s="3"/>
      <c r="F653" s="3"/>
      <c r="G653" s="3"/>
      <c r="H653" s="3"/>
      <c r="I653" s="3"/>
      <c r="J653" s="3"/>
      <c r="K653" s="3"/>
    </row>
    <row r="654" spans="1:11" hidden="1" x14ac:dyDescent="0.2">
      <c r="A654" s="3"/>
      <c r="B654" s="3"/>
      <c r="C654" s="3"/>
      <c r="D654" s="3"/>
      <c r="E654" s="3"/>
      <c r="F654" s="3"/>
      <c r="G654" s="3"/>
      <c r="H654" s="3"/>
      <c r="I654" s="3"/>
      <c r="J654" s="3"/>
      <c r="K654" s="3"/>
    </row>
    <row r="655" spans="1:11" hidden="1" x14ac:dyDescent="0.2">
      <c r="A655" s="3"/>
      <c r="B655" s="3"/>
      <c r="C655" s="3"/>
      <c r="D655" s="3"/>
      <c r="E655" s="3"/>
      <c r="F655" s="3"/>
      <c r="G655" s="3"/>
      <c r="H655" s="3"/>
      <c r="I655" s="3"/>
      <c r="J655" s="3"/>
      <c r="K655" s="3"/>
    </row>
    <row r="656" spans="1:11" hidden="1" x14ac:dyDescent="0.2">
      <c r="A656" s="3"/>
      <c r="B656" s="3"/>
      <c r="C656" s="3"/>
      <c r="D656" s="3"/>
      <c r="E656" s="3"/>
      <c r="F656" s="3"/>
      <c r="G656" s="3"/>
      <c r="H656" s="3"/>
      <c r="I656" s="3"/>
      <c r="J656" s="3"/>
      <c r="K656" s="3"/>
    </row>
    <row r="657" spans="1:11" hidden="1" x14ac:dyDescent="0.2">
      <c r="A657" s="3"/>
      <c r="B657" s="3"/>
      <c r="C657" s="3"/>
      <c r="D657" s="3"/>
      <c r="E657" s="3"/>
      <c r="F657" s="3"/>
      <c r="G657" s="3"/>
      <c r="H657" s="3"/>
      <c r="I657" s="3"/>
      <c r="J657" s="3"/>
      <c r="K657" s="3"/>
    </row>
    <row r="658" spans="1:11" hidden="1" x14ac:dyDescent="0.2">
      <c r="A658" s="3"/>
      <c r="B658" s="3"/>
      <c r="C658" s="3"/>
      <c r="D658" s="3"/>
      <c r="E658" s="3"/>
      <c r="F658" s="3"/>
      <c r="G658" s="3"/>
      <c r="H658" s="3"/>
      <c r="I658" s="3"/>
      <c r="J658" s="3"/>
      <c r="K658" s="3"/>
    </row>
    <row r="659" spans="1:11" hidden="1" x14ac:dyDescent="0.2">
      <c r="A659" s="3"/>
      <c r="B659" s="3"/>
      <c r="C659" s="3"/>
      <c r="D659" s="3"/>
      <c r="E659" s="3"/>
      <c r="F659" s="3"/>
      <c r="G659" s="3"/>
      <c r="H659" s="3"/>
      <c r="I659" s="3"/>
      <c r="J659" s="3"/>
      <c r="K659" s="3"/>
    </row>
    <row r="660" spans="1:11" hidden="1" x14ac:dyDescent="0.2">
      <c r="A660" s="3"/>
      <c r="B660" s="3"/>
      <c r="C660" s="3"/>
      <c r="D660" s="3"/>
      <c r="E660" s="3"/>
      <c r="F660" s="3"/>
      <c r="G660" s="3"/>
      <c r="H660" s="3"/>
      <c r="I660" s="3"/>
      <c r="J660" s="3"/>
      <c r="K660" s="3"/>
    </row>
    <row r="661" spans="1:11" hidden="1" x14ac:dyDescent="0.2">
      <c r="A661" s="3"/>
      <c r="B661" s="3"/>
      <c r="C661" s="3"/>
      <c r="D661" s="3"/>
      <c r="E661" s="3"/>
      <c r="F661" s="3"/>
      <c r="G661" s="3"/>
      <c r="H661" s="3"/>
      <c r="I661" s="3"/>
      <c r="J661" s="3"/>
      <c r="K661" s="3"/>
    </row>
    <row r="662" spans="1:11" hidden="1" x14ac:dyDescent="0.2">
      <c r="A662" s="3"/>
      <c r="B662" s="3"/>
      <c r="C662" s="3"/>
      <c r="D662" s="3"/>
      <c r="E662" s="3"/>
      <c r="F662" s="3"/>
      <c r="G662" s="3"/>
      <c r="H662" s="3"/>
      <c r="I662" s="3"/>
      <c r="J662" s="3"/>
      <c r="K662" s="3"/>
    </row>
    <row r="663" spans="1:11" hidden="1" x14ac:dyDescent="0.2">
      <c r="A663" s="3"/>
      <c r="B663" s="3"/>
      <c r="C663" s="3"/>
      <c r="D663" s="3"/>
      <c r="E663" s="3"/>
      <c r="F663" s="3"/>
      <c r="G663" s="3"/>
      <c r="H663" s="3"/>
      <c r="I663" s="3"/>
      <c r="J663" s="3"/>
      <c r="K663" s="3"/>
    </row>
    <row r="664" spans="1:11" hidden="1" x14ac:dyDescent="0.2">
      <c r="A664" s="3"/>
      <c r="B664" s="3"/>
      <c r="C664" s="3"/>
      <c r="D664" s="3"/>
      <c r="E664" s="3"/>
      <c r="F664" s="3"/>
      <c r="G664" s="3"/>
      <c r="H664" s="3"/>
      <c r="I664" s="3"/>
      <c r="J664" s="3"/>
      <c r="K664" s="3"/>
    </row>
    <row r="665" spans="1:11" hidden="1" x14ac:dyDescent="0.2">
      <c r="A665" s="3"/>
      <c r="B665" s="3"/>
      <c r="C665" s="3"/>
      <c r="D665" s="3"/>
      <c r="E665" s="3"/>
      <c r="F665" s="3"/>
      <c r="G665" s="3"/>
      <c r="H665" s="3"/>
      <c r="I665" s="3"/>
      <c r="J665" s="3"/>
      <c r="K665" s="3"/>
    </row>
    <row r="666" spans="1:11" hidden="1" x14ac:dyDescent="0.2">
      <c r="A666" s="3"/>
      <c r="B666" s="3"/>
      <c r="C666" s="3"/>
      <c r="D666" s="3"/>
      <c r="E666" s="3"/>
      <c r="F666" s="3"/>
      <c r="G666" s="3"/>
      <c r="H666" s="3"/>
      <c r="I666" s="3"/>
      <c r="J666" s="3"/>
      <c r="K666" s="3"/>
    </row>
    <row r="667" spans="1:11" hidden="1" x14ac:dyDescent="0.2">
      <c r="A667" s="3"/>
      <c r="B667" s="3"/>
      <c r="C667" s="3"/>
      <c r="D667" s="3"/>
      <c r="E667" s="3"/>
      <c r="F667" s="3"/>
      <c r="G667" s="3"/>
      <c r="H667" s="3"/>
      <c r="I667" s="3"/>
      <c r="J667" s="3"/>
      <c r="K667" s="3"/>
    </row>
    <row r="668" spans="1:11" hidden="1" x14ac:dyDescent="0.2">
      <c r="A668" s="3"/>
      <c r="B668" s="3"/>
      <c r="C668" s="3"/>
      <c r="D668" s="3"/>
      <c r="E668" s="3"/>
      <c r="F668" s="3"/>
      <c r="G668" s="3"/>
      <c r="H668" s="3"/>
      <c r="I668" s="3"/>
      <c r="J668" s="3"/>
      <c r="K668" s="3"/>
    </row>
    <row r="669" spans="1:11" hidden="1" x14ac:dyDescent="0.2">
      <c r="A669" s="3"/>
      <c r="B669" s="3"/>
      <c r="C669" s="3"/>
      <c r="D669" s="3"/>
      <c r="E669" s="3"/>
      <c r="F669" s="3"/>
      <c r="G669" s="3"/>
      <c r="H669" s="3"/>
      <c r="I669" s="3"/>
      <c r="J669" s="3"/>
      <c r="K669" s="3"/>
    </row>
    <row r="670" spans="1:11" hidden="1" x14ac:dyDescent="0.2">
      <c r="A670" s="3"/>
      <c r="B670" s="3"/>
      <c r="C670" s="3"/>
      <c r="D670" s="3"/>
      <c r="E670" s="3"/>
      <c r="F670" s="3"/>
      <c r="G670" s="3"/>
      <c r="H670" s="3"/>
      <c r="I670" s="3"/>
      <c r="J670" s="3"/>
      <c r="K670" s="3"/>
    </row>
    <row r="671" spans="1:11" hidden="1" x14ac:dyDescent="0.2">
      <c r="A671" s="3"/>
      <c r="B671" s="3"/>
      <c r="C671" s="3"/>
      <c r="D671" s="3"/>
      <c r="E671" s="3"/>
      <c r="F671" s="3"/>
      <c r="G671" s="3"/>
      <c r="H671" s="3"/>
      <c r="I671" s="3"/>
      <c r="J671" s="3"/>
      <c r="K671" s="3"/>
    </row>
    <row r="672" spans="1:11" hidden="1" x14ac:dyDescent="0.2">
      <c r="A672" s="3"/>
      <c r="B672" s="3"/>
      <c r="C672" s="3"/>
      <c r="D672" s="3"/>
      <c r="E672" s="3"/>
      <c r="F672" s="3"/>
      <c r="G672" s="3"/>
      <c r="H672" s="3"/>
      <c r="I672" s="3"/>
      <c r="J672" s="3"/>
      <c r="K672" s="3"/>
    </row>
    <row r="673" spans="1:11" hidden="1" x14ac:dyDescent="0.2">
      <c r="A673" s="3"/>
      <c r="B673" s="3"/>
      <c r="C673" s="3"/>
      <c r="D673" s="3"/>
      <c r="E673" s="3"/>
      <c r="F673" s="3"/>
      <c r="G673" s="3"/>
      <c r="H673" s="3"/>
      <c r="I673" s="3"/>
      <c r="J673" s="3"/>
      <c r="K673" s="3"/>
    </row>
    <row r="674" spans="1:11" hidden="1" x14ac:dyDescent="0.2">
      <c r="A674" s="3"/>
      <c r="B674" s="3"/>
      <c r="C674" s="3"/>
      <c r="D674" s="3"/>
      <c r="E674" s="3"/>
      <c r="F674" s="3"/>
      <c r="G674" s="3"/>
      <c r="H674" s="3"/>
      <c r="I674" s="3"/>
      <c r="J674" s="3"/>
      <c r="K674" s="3"/>
    </row>
    <row r="675" spans="1:11" hidden="1" x14ac:dyDescent="0.2">
      <c r="A675" s="3"/>
      <c r="B675" s="3"/>
      <c r="C675" s="3"/>
      <c r="D675" s="3"/>
      <c r="E675" s="3"/>
      <c r="F675" s="3"/>
      <c r="G675" s="3"/>
      <c r="H675" s="3"/>
      <c r="I675" s="3"/>
      <c r="J675" s="3"/>
      <c r="K675" s="3"/>
    </row>
    <row r="676" spans="1:11" hidden="1" x14ac:dyDescent="0.2">
      <c r="A676" s="3"/>
      <c r="B676" s="3"/>
      <c r="C676" s="3"/>
      <c r="D676" s="3"/>
      <c r="E676" s="3"/>
      <c r="F676" s="3"/>
      <c r="G676" s="3"/>
      <c r="H676" s="3"/>
      <c r="I676" s="3"/>
      <c r="J676" s="3"/>
      <c r="K676" s="3"/>
    </row>
    <row r="677" spans="1:11" hidden="1" x14ac:dyDescent="0.2">
      <c r="A677" s="3"/>
      <c r="B677" s="3"/>
      <c r="C677" s="3"/>
      <c r="D677" s="3"/>
      <c r="E677" s="3"/>
      <c r="F677" s="3"/>
      <c r="G677" s="3"/>
      <c r="H677" s="3"/>
      <c r="I677" s="3"/>
      <c r="J677" s="3"/>
      <c r="K677" s="3"/>
    </row>
    <row r="678" spans="1:11" hidden="1" x14ac:dyDescent="0.2">
      <c r="A678" s="3"/>
      <c r="B678" s="3"/>
      <c r="C678" s="3"/>
      <c r="D678" s="3"/>
      <c r="E678" s="3"/>
      <c r="F678" s="3"/>
      <c r="G678" s="3"/>
      <c r="H678" s="3"/>
      <c r="I678" s="3"/>
      <c r="J678" s="3"/>
      <c r="K678" s="3"/>
    </row>
    <row r="679" spans="1:11" hidden="1" x14ac:dyDescent="0.2">
      <c r="A679" s="3"/>
      <c r="B679" s="3"/>
      <c r="C679" s="3"/>
      <c r="D679" s="3"/>
      <c r="E679" s="3"/>
      <c r="F679" s="3"/>
      <c r="G679" s="3"/>
      <c r="H679" s="3"/>
      <c r="I679" s="3"/>
      <c r="J679" s="3"/>
      <c r="K679" s="3"/>
    </row>
    <row r="680" spans="1:11" hidden="1" x14ac:dyDescent="0.2">
      <c r="A680" s="3"/>
      <c r="B680" s="3"/>
      <c r="C680" s="3"/>
      <c r="D680" s="3"/>
      <c r="E680" s="3"/>
      <c r="F680" s="3"/>
      <c r="G680" s="3"/>
      <c r="H680" s="3"/>
      <c r="I680" s="3"/>
      <c r="J680" s="3"/>
      <c r="K680" s="3"/>
    </row>
    <row r="681" spans="1:11" hidden="1" x14ac:dyDescent="0.2">
      <c r="A681" s="3"/>
      <c r="B681" s="3"/>
      <c r="C681" s="3"/>
      <c r="D681" s="3"/>
      <c r="E681" s="3"/>
      <c r="F681" s="3"/>
      <c r="G681" s="3"/>
      <c r="H681" s="3"/>
      <c r="I681" s="3"/>
      <c r="J681" s="3"/>
      <c r="K681" s="3"/>
    </row>
    <row r="682" spans="1:11" hidden="1" x14ac:dyDescent="0.2">
      <c r="A682" s="3"/>
      <c r="B682" s="3"/>
      <c r="C682" s="3"/>
      <c r="D682" s="3"/>
      <c r="E682" s="3"/>
      <c r="F682" s="3"/>
      <c r="G682" s="3"/>
      <c r="H682" s="3"/>
      <c r="I682" s="3"/>
      <c r="J682" s="3"/>
      <c r="K682" s="3"/>
    </row>
    <row r="683" spans="1:11" hidden="1" x14ac:dyDescent="0.2">
      <c r="A683" s="3"/>
      <c r="B683" s="3"/>
      <c r="C683" s="3"/>
      <c r="D683" s="3"/>
      <c r="E683" s="3"/>
      <c r="F683" s="3"/>
      <c r="G683" s="3"/>
      <c r="H683" s="3"/>
      <c r="I683" s="3"/>
      <c r="J683" s="3"/>
      <c r="K683" s="3"/>
    </row>
    <row r="684" spans="1:11" hidden="1" x14ac:dyDescent="0.2">
      <c r="A684" s="3"/>
      <c r="B684" s="3"/>
      <c r="C684" s="3"/>
      <c r="D684" s="3"/>
      <c r="E684" s="3"/>
      <c r="F684" s="3"/>
      <c r="G684" s="3"/>
      <c r="H684" s="3"/>
      <c r="I684" s="3"/>
      <c r="J684" s="3"/>
      <c r="K684" s="3"/>
    </row>
    <row r="685" spans="1:11" hidden="1" x14ac:dyDescent="0.2">
      <c r="A685" s="3"/>
      <c r="B685" s="3"/>
      <c r="C685" s="3"/>
      <c r="D685" s="3"/>
      <c r="E685" s="3"/>
      <c r="F685" s="3"/>
      <c r="G685" s="3"/>
      <c r="H685" s="3"/>
      <c r="I685" s="3"/>
      <c r="J685" s="3"/>
      <c r="K685" s="3"/>
    </row>
    <row r="686" spans="1:11" hidden="1" x14ac:dyDescent="0.2">
      <c r="A686" s="3"/>
      <c r="B686" s="3"/>
      <c r="C686" s="3"/>
      <c r="D686" s="3"/>
      <c r="E686" s="3"/>
      <c r="F686" s="3"/>
      <c r="G686" s="3"/>
      <c r="H686" s="3"/>
      <c r="I686" s="3"/>
      <c r="J686" s="3"/>
      <c r="K686" s="3"/>
    </row>
    <row r="687" spans="1:11" hidden="1" x14ac:dyDescent="0.2">
      <c r="A687" s="3"/>
      <c r="B687" s="3"/>
      <c r="C687" s="3"/>
      <c r="D687" s="3"/>
      <c r="E687" s="3"/>
      <c r="F687" s="3"/>
      <c r="G687" s="3"/>
      <c r="H687" s="3"/>
      <c r="I687" s="3"/>
      <c r="J687" s="3"/>
      <c r="K687" s="3"/>
    </row>
    <row r="688" spans="1:11" hidden="1" x14ac:dyDescent="0.2">
      <c r="A688" s="3"/>
      <c r="B688" s="3"/>
      <c r="C688" s="3"/>
      <c r="D688" s="3"/>
      <c r="E688" s="3"/>
      <c r="F688" s="3"/>
      <c r="G688" s="3"/>
      <c r="H688" s="3"/>
      <c r="I688" s="3"/>
      <c r="J688" s="3"/>
      <c r="K688" s="3"/>
    </row>
    <row r="689" spans="1:11" hidden="1" x14ac:dyDescent="0.2">
      <c r="A689" s="3"/>
      <c r="B689" s="3"/>
      <c r="C689" s="3"/>
      <c r="D689" s="3"/>
      <c r="E689" s="3"/>
      <c r="F689" s="3"/>
      <c r="G689" s="3"/>
      <c r="H689" s="3"/>
      <c r="I689" s="3"/>
      <c r="J689" s="3"/>
      <c r="K689" s="3"/>
    </row>
    <row r="690" spans="1:11" hidden="1" x14ac:dyDescent="0.2">
      <c r="A690" s="3"/>
      <c r="B690" s="3"/>
      <c r="C690" s="3"/>
      <c r="D690" s="3"/>
      <c r="E690" s="3"/>
      <c r="F690" s="3"/>
      <c r="G690" s="3"/>
      <c r="H690" s="3"/>
      <c r="I690" s="3"/>
      <c r="J690" s="3"/>
      <c r="K690" s="3"/>
    </row>
    <row r="691" spans="1:11" hidden="1" x14ac:dyDescent="0.2">
      <c r="A691" s="3"/>
      <c r="B691" s="3"/>
      <c r="C691" s="3"/>
      <c r="D691" s="3"/>
      <c r="E691" s="3"/>
      <c r="F691" s="3"/>
      <c r="G691" s="3"/>
      <c r="H691" s="3"/>
      <c r="I691" s="3"/>
      <c r="J691" s="3"/>
      <c r="K691" s="3"/>
    </row>
    <row r="692" spans="1:11" hidden="1" x14ac:dyDescent="0.2">
      <c r="A692" s="3"/>
      <c r="B692" s="3"/>
      <c r="C692" s="3"/>
      <c r="D692" s="3"/>
      <c r="E692" s="3"/>
      <c r="F692" s="3"/>
      <c r="G692" s="3"/>
      <c r="H692" s="3"/>
      <c r="I692" s="3"/>
      <c r="J692" s="3"/>
      <c r="K692" s="3"/>
    </row>
    <row r="693" spans="1:11" hidden="1" x14ac:dyDescent="0.2">
      <c r="A693" s="3"/>
      <c r="B693" s="3"/>
      <c r="C693" s="3"/>
      <c r="D693" s="3"/>
      <c r="E693" s="3"/>
      <c r="F693" s="3"/>
      <c r="G693" s="3"/>
      <c r="H693" s="3"/>
      <c r="I693" s="3"/>
      <c r="J693" s="3"/>
      <c r="K693" s="3"/>
    </row>
    <row r="694" spans="1:11" hidden="1" x14ac:dyDescent="0.2">
      <c r="A694" s="3"/>
      <c r="B694" s="3"/>
      <c r="C694" s="3"/>
      <c r="D694" s="3"/>
      <c r="E694" s="3"/>
      <c r="F694" s="3"/>
      <c r="G694" s="3"/>
      <c r="H694" s="3"/>
      <c r="I694" s="3"/>
      <c r="J694" s="3"/>
      <c r="K694" s="3"/>
    </row>
    <row r="695" spans="1:11" hidden="1" x14ac:dyDescent="0.2">
      <c r="A695" s="3"/>
      <c r="B695" s="3"/>
      <c r="C695" s="3"/>
      <c r="D695" s="3"/>
      <c r="E695" s="3"/>
      <c r="F695" s="3"/>
      <c r="G695" s="3"/>
      <c r="H695" s="3"/>
      <c r="I695" s="3"/>
      <c r="J695" s="3"/>
      <c r="K695" s="3"/>
    </row>
    <row r="696" spans="1:11" hidden="1" x14ac:dyDescent="0.2">
      <c r="A696" s="3"/>
      <c r="B696" s="3"/>
      <c r="C696" s="3"/>
      <c r="D696" s="3"/>
      <c r="E696" s="3"/>
      <c r="F696" s="3"/>
      <c r="G696" s="3"/>
      <c r="H696" s="3"/>
      <c r="I696" s="3"/>
      <c r="J696" s="3"/>
      <c r="K696" s="3"/>
    </row>
    <row r="697" spans="1:11" hidden="1" x14ac:dyDescent="0.2">
      <c r="A697" s="3"/>
      <c r="B697" s="3"/>
      <c r="C697" s="3"/>
      <c r="D697" s="3"/>
      <c r="E697" s="3"/>
      <c r="F697" s="3"/>
      <c r="G697" s="3"/>
      <c r="H697" s="3"/>
      <c r="I697" s="3"/>
      <c r="J697" s="3"/>
      <c r="K697" s="3"/>
    </row>
    <row r="698" spans="1:11" hidden="1" x14ac:dyDescent="0.2">
      <c r="A698" s="3"/>
      <c r="B698" s="3"/>
      <c r="C698" s="3"/>
      <c r="D698" s="3"/>
      <c r="E698" s="3"/>
      <c r="F698" s="3"/>
      <c r="G698" s="3"/>
      <c r="H698" s="3"/>
      <c r="I698" s="3"/>
      <c r="J698" s="3"/>
      <c r="K698" s="3"/>
    </row>
    <row r="699" spans="1:11" hidden="1" x14ac:dyDescent="0.2">
      <c r="A699" s="3"/>
      <c r="B699" s="3"/>
      <c r="C699" s="3"/>
      <c r="D699" s="3"/>
      <c r="E699" s="3"/>
      <c r="F699" s="3"/>
      <c r="G699" s="3"/>
      <c r="H699" s="3"/>
      <c r="I699" s="3"/>
      <c r="J699" s="3"/>
      <c r="K699" s="3"/>
    </row>
    <row r="700" spans="1:11" hidden="1" x14ac:dyDescent="0.2">
      <c r="A700" s="3"/>
      <c r="B700" s="3"/>
      <c r="C700" s="3"/>
      <c r="D700" s="3"/>
      <c r="E700" s="3"/>
      <c r="F700" s="3"/>
      <c r="G700" s="3"/>
      <c r="H700" s="3"/>
      <c r="I700" s="3"/>
      <c r="J700" s="3"/>
      <c r="K700" s="3"/>
    </row>
    <row r="701" spans="1:11" hidden="1" x14ac:dyDescent="0.2">
      <c r="A701" s="3"/>
      <c r="B701" s="3"/>
      <c r="C701" s="3"/>
      <c r="D701" s="3"/>
      <c r="E701" s="3"/>
      <c r="F701" s="3"/>
      <c r="G701" s="3"/>
      <c r="H701" s="3"/>
      <c r="I701" s="3"/>
      <c r="J701" s="3"/>
      <c r="K701" s="3"/>
    </row>
    <row r="702" spans="1:11" hidden="1" x14ac:dyDescent="0.2">
      <c r="A702" s="3"/>
      <c r="B702" s="3"/>
      <c r="C702" s="3"/>
      <c r="D702" s="3"/>
      <c r="E702" s="3"/>
      <c r="F702" s="3"/>
      <c r="G702" s="3"/>
      <c r="H702" s="3"/>
      <c r="I702" s="3"/>
      <c r="J702" s="3"/>
      <c r="K702" s="3"/>
    </row>
    <row r="703" spans="1:11" hidden="1" x14ac:dyDescent="0.2">
      <c r="A703" s="3"/>
      <c r="B703" s="3"/>
      <c r="C703" s="3"/>
      <c r="D703" s="3"/>
      <c r="E703" s="3"/>
      <c r="F703" s="3"/>
      <c r="G703" s="3"/>
      <c r="H703" s="3"/>
      <c r="I703" s="3"/>
      <c r="J703" s="3"/>
      <c r="K703" s="3"/>
    </row>
    <row r="704" spans="1:11" hidden="1" x14ac:dyDescent="0.2">
      <c r="A704" s="3"/>
      <c r="B704" s="3"/>
      <c r="C704" s="3"/>
      <c r="D704" s="3"/>
      <c r="E704" s="3"/>
      <c r="F704" s="3"/>
      <c r="G704" s="3"/>
      <c r="H704" s="3"/>
      <c r="I704" s="3"/>
      <c r="J704" s="3"/>
      <c r="K704" s="3"/>
    </row>
    <row r="705" spans="1:11" hidden="1" x14ac:dyDescent="0.2">
      <c r="A705" s="3"/>
      <c r="B705" s="3"/>
      <c r="C705" s="3"/>
      <c r="D705" s="3"/>
      <c r="E705" s="3"/>
      <c r="F705" s="3"/>
      <c r="G705" s="3"/>
      <c r="H705" s="3"/>
      <c r="I705" s="3"/>
      <c r="J705" s="3"/>
      <c r="K705" s="3"/>
    </row>
    <row r="706" spans="1:11" hidden="1" x14ac:dyDescent="0.2">
      <c r="A706" s="3"/>
      <c r="B706" s="3"/>
      <c r="C706" s="3"/>
      <c r="D706" s="3"/>
      <c r="E706" s="3"/>
      <c r="F706" s="3"/>
      <c r="G706" s="3"/>
      <c r="H706" s="3"/>
      <c r="I706" s="3"/>
      <c r="J706" s="3"/>
      <c r="K706" s="3"/>
    </row>
    <row r="707" spans="1:11" hidden="1" x14ac:dyDescent="0.2">
      <c r="A707" s="3"/>
      <c r="B707" s="3"/>
      <c r="C707" s="3"/>
      <c r="D707" s="3"/>
      <c r="E707" s="3"/>
      <c r="F707" s="3"/>
      <c r="G707" s="3"/>
      <c r="H707" s="3"/>
      <c r="I707" s="3"/>
      <c r="J707" s="3"/>
      <c r="K707" s="3"/>
    </row>
    <row r="708" spans="1:11" hidden="1" x14ac:dyDescent="0.2">
      <c r="A708" s="3"/>
      <c r="B708" s="3"/>
      <c r="C708" s="3"/>
      <c r="D708" s="3"/>
      <c r="E708" s="3"/>
      <c r="F708" s="3"/>
      <c r="G708" s="3"/>
      <c r="H708" s="3"/>
      <c r="I708" s="3"/>
      <c r="J708" s="3"/>
      <c r="K708" s="3"/>
    </row>
    <row r="709" spans="1:11" hidden="1" x14ac:dyDescent="0.2">
      <c r="A709" s="3"/>
      <c r="B709" s="3"/>
      <c r="C709" s="3"/>
      <c r="D709" s="3"/>
      <c r="E709" s="3"/>
      <c r="F709" s="3"/>
      <c r="G709" s="3"/>
      <c r="H709" s="3"/>
      <c r="I709" s="3"/>
      <c r="J709" s="3"/>
      <c r="K709" s="3"/>
    </row>
    <row r="710" spans="1:11" hidden="1" x14ac:dyDescent="0.2">
      <c r="A710" s="3"/>
      <c r="B710" s="3"/>
      <c r="C710" s="3"/>
      <c r="D710" s="3"/>
      <c r="E710" s="3"/>
      <c r="F710" s="3"/>
      <c r="G710" s="3"/>
      <c r="H710" s="3"/>
      <c r="I710" s="3"/>
      <c r="J710" s="3"/>
      <c r="K710" s="3"/>
    </row>
    <row r="711" spans="1:11" hidden="1" x14ac:dyDescent="0.2">
      <c r="A711" s="3"/>
      <c r="B711" s="3"/>
      <c r="C711" s="3"/>
      <c r="D711" s="3"/>
      <c r="E711" s="3"/>
      <c r="F711" s="3"/>
      <c r="G711" s="3"/>
      <c r="H711" s="3"/>
      <c r="I711" s="3"/>
      <c r="J711" s="3"/>
      <c r="K711" s="3"/>
    </row>
    <row r="712" spans="1:11" hidden="1" x14ac:dyDescent="0.2">
      <c r="A712" s="3"/>
      <c r="B712" s="3"/>
      <c r="C712" s="3"/>
      <c r="D712" s="3"/>
      <c r="E712" s="3"/>
      <c r="F712" s="3"/>
      <c r="G712" s="3"/>
      <c r="H712" s="3"/>
      <c r="I712" s="3"/>
      <c r="J712" s="3"/>
      <c r="K712" s="3"/>
    </row>
    <row r="713" spans="1:11" hidden="1" x14ac:dyDescent="0.2">
      <c r="A713" s="3"/>
      <c r="B713" s="3"/>
      <c r="C713" s="3"/>
      <c r="D713" s="3"/>
      <c r="E713" s="3"/>
      <c r="F713" s="3"/>
      <c r="G713" s="3"/>
      <c r="H713" s="3"/>
      <c r="I713" s="3"/>
      <c r="J713" s="3"/>
      <c r="K713" s="3"/>
    </row>
    <row r="714" spans="1:11" hidden="1" x14ac:dyDescent="0.2">
      <c r="A714" s="3"/>
      <c r="B714" s="3"/>
      <c r="C714" s="3"/>
      <c r="D714" s="3"/>
      <c r="E714" s="3"/>
      <c r="F714" s="3"/>
      <c r="G714" s="3"/>
      <c r="H714" s="3"/>
      <c r="I714" s="3"/>
      <c r="J714" s="3"/>
      <c r="K714" s="3"/>
    </row>
    <row r="715" spans="1:11" hidden="1" x14ac:dyDescent="0.2">
      <c r="A715" s="3"/>
      <c r="B715" s="3"/>
      <c r="C715" s="3"/>
      <c r="D715" s="3"/>
      <c r="E715" s="3"/>
      <c r="F715" s="3"/>
      <c r="G715" s="3"/>
      <c r="H715" s="3"/>
      <c r="I715" s="3"/>
      <c r="J715" s="3"/>
      <c r="K715" s="3"/>
    </row>
    <row r="716" spans="1:11" hidden="1" x14ac:dyDescent="0.2">
      <c r="A716" s="3"/>
      <c r="B716" s="3"/>
      <c r="C716" s="3"/>
      <c r="D716" s="3"/>
      <c r="E716" s="3"/>
      <c r="F716" s="3"/>
      <c r="G716" s="3"/>
      <c r="H716" s="3"/>
      <c r="I716" s="3"/>
      <c r="J716" s="3"/>
      <c r="K716" s="3"/>
    </row>
    <row r="717" spans="1:11" hidden="1" x14ac:dyDescent="0.2">
      <c r="A717" s="3"/>
      <c r="B717" s="3"/>
      <c r="C717" s="3"/>
      <c r="D717" s="3"/>
      <c r="E717" s="3"/>
      <c r="F717" s="3"/>
      <c r="G717" s="3"/>
      <c r="H717" s="3"/>
      <c r="I717" s="3"/>
      <c r="J717" s="3"/>
      <c r="K717" s="3"/>
    </row>
    <row r="718" spans="1:11" hidden="1" x14ac:dyDescent="0.2">
      <c r="A718" s="3"/>
      <c r="B718" s="3"/>
      <c r="C718" s="3"/>
      <c r="D718" s="3"/>
      <c r="E718" s="3"/>
      <c r="F718" s="3"/>
      <c r="G718" s="3"/>
      <c r="H718" s="3"/>
      <c r="I718" s="3"/>
      <c r="J718" s="3"/>
      <c r="K718" s="3"/>
    </row>
    <row r="719" spans="1:11" hidden="1" x14ac:dyDescent="0.2">
      <c r="A719" s="3"/>
      <c r="B719" s="3"/>
      <c r="C719" s="3"/>
      <c r="D719" s="3"/>
      <c r="E719" s="3"/>
      <c r="F719" s="3"/>
      <c r="G719" s="3"/>
      <c r="H719" s="3"/>
      <c r="I719" s="3"/>
      <c r="J719" s="3"/>
      <c r="K719" s="3"/>
    </row>
    <row r="720" spans="1:11" hidden="1" x14ac:dyDescent="0.2">
      <c r="A720" s="3"/>
      <c r="B720" s="3"/>
      <c r="C720" s="3"/>
      <c r="D720" s="3"/>
      <c r="E720" s="3"/>
      <c r="F720" s="3"/>
      <c r="G720" s="3"/>
      <c r="H720" s="3"/>
      <c r="I720" s="3"/>
      <c r="J720" s="3"/>
      <c r="K720" s="3"/>
    </row>
    <row r="721" spans="1:11" hidden="1" x14ac:dyDescent="0.2">
      <c r="A721" s="3"/>
      <c r="B721" s="3"/>
      <c r="C721" s="3"/>
      <c r="D721" s="3"/>
      <c r="E721" s="3"/>
      <c r="F721" s="3"/>
      <c r="G721" s="3"/>
      <c r="H721" s="3"/>
      <c r="I721" s="3"/>
      <c r="J721" s="3"/>
      <c r="K721" s="3"/>
    </row>
    <row r="722" spans="1:11" hidden="1" x14ac:dyDescent="0.2">
      <c r="A722" s="3"/>
      <c r="B722" s="3"/>
      <c r="C722" s="3"/>
      <c r="D722" s="3"/>
      <c r="E722" s="3"/>
      <c r="F722" s="3"/>
      <c r="G722" s="3"/>
      <c r="H722" s="3"/>
      <c r="I722" s="3"/>
      <c r="J722" s="3"/>
      <c r="K722" s="3"/>
    </row>
    <row r="723" spans="1:11" hidden="1" x14ac:dyDescent="0.2">
      <c r="A723" s="3"/>
      <c r="B723" s="3"/>
      <c r="C723" s="3"/>
      <c r="D723" s="3"/>
      <c r="E723" s="3"/>
      <c r="F723" s="3"/>
      <c r="G723" s="3"/>
      <c r="H723" s="3"/>
      <c r="I723" s="3"/>
      <c r="J723" s="3"/>
      <c r="K723" s="3"/>
    </row>
    <row r="724" spans="1:11" hidden="1" x14ac:dyDescent="0.2">
      <c r="A724" s="3"/>
      <c r="B724" s="3"/>
      <c r="C724" s="3"/>
      <c r="D724" s="3"/>
      <c r="E724" s="3"/>
      <c r="F724" s="3"/>
      <c r="G724" s="3"/>
      <c r="H724" s="3"/>
      <c r="I724" s="3"/>
      <c r="J724" s="3"/>
      <c r="K724" s="3"/>
    </row>
    <row r="725" spans="1:11" hidden="1" x14ac:dyDescent="0.2">
      <c r="A725" s="3"/>
      <c r="B725" s="3"/>
      <c r="C725" s="3"/>
      <c r="D725" s="3"/>
      <c r="E725" s="3"/>
      <c r="F725" s="3"/>
      <c r="G725" s="3"/>
      <c r="H725" s="3"/>
      <c r="I725" s="3"/>
      <c r="J725" s="3"/>
      <c r="K725" s="3"/>
    </row>
    <row r="726" spans="1:11" hidden="1" x14ac:dyDescent="0.2">
      <c r="A726" s="3"/>
      <c r="B726" s="3"/>
      <c r="C726" s="3"/>
      <c r="D726" s="3"/>
      <c r="E726" s="3"/>
      <c r="F726" s="3"/>
      <c r="G726" s="3"/>
      <c r="H726" s="3"/>
      <c r="I726" s="3"/>
      <c r="J726" s="3"/>
      <c r="K726" s="3"/>
    </row>
    <row r="727" spans="1:11" hidden="1" x14ac:dyDescent="0.2">
      <c r="A727" s="3"/>
      <c r="B727" s="3"/>
      <c r="C727" s="3"/>
      <c r="D727" s="3"/>
      <c r="E727" s="3"/>
      <c r="F727" s="3"/>
      <c r="G727" s="3"/>
      <c r="H727" s="3"/>
      <c r="I727" s="3"/>
      <c r="J727" s="3"/>
      <c r="K727" s="3"/>
    </row>
    <row r="728" spans="1:11" hidden="1" x14ac:dyDescent="0.2">
      <c r="A728" s="3"/>
      <c r="B728" s="3"/>
      <c r="C728" s="3"/>
      <c r="D728" s="3"/>
      <c r="E728" s="3"/>
      <c r="F728" s="3"/>
      <c r="G728" s="3"/>
      <c r="H728" s="3"/>
      <c r="I728" s="3"/>
      <c r="J728" s="3"/>
      <c r="K728" s="3"/>
    </row>
    <row r="729" spans="1:11" hidden="1" x14ac:dyDescent="0.2">
      <c r="A729" s="3"/>
      <c r="B729" s="3"/>
      <c r="C729" s="3"/>
      <c r="D729" s="3"/>
      <c r="E729" s="3"/>
      <c r="F729" s="3"/>
      <c r="G729" s="3"/>
      <c r="H729" s="3"/>
      <c r="I729" s="3"/>
      <c r="J729" s="3"/>
      <c r="K729" s="3"/>
    </row>
    <row r="730" spans="1:11" hidden="1" x14ac:dyDescent="0.2">
      <c r="A730" s="3"/>
      <c r="B730" s="3"/>
      <c r="C730" s="3"/>
      <c r="D730" s="3"/>
      <c r="E730" s="3"/>
      <c r="F730" s="3"/>
      <c r="G730" s="3"/>
      <c r="H730" s="3"/>
      <c r="I730" s="3"/>
      <c r="J730" s="3"/>
      <c r="K730" s="3"/>
    </row>
    <row r="731" spans="1:11" hidden="1" x14ac:dyDescent="0.2">
      <c r="A731" s="3"/>
      <c r="B731" s="3"/>
      <c r="C731" s="3"/>
      <c r="D731" s="3"/>
      <c r="E731" s="3"/>
      <c r="F731" s="3"/>
      <c r="G731" s="3"/>
      <c r="H731" s="3"/>
      <c r="I731" s="3"/>
      <c r="J731" s="3"/>
      <c r="K731" s="3"/>
    </row>
    <row r="732" spans="1:11" hidden="1" x14ac:dyDescent="0.2">
      <c r="A732" s="3"/>
      <c r="B732" s="3"/>
      <c r="C732" s="3"/>
      <c r="D732" s="3"/>
      <c r="E732" s="3"/>
      <c r="F732" s="3"/>
      <c r="G732" s="3"/>
      <c r="H732" s="3"/>
      <c r="I732" s="3"/>
      <c r="J732" s="3"/>
      <c r="K732" s="3"/>
    </row>
    <row r="733" spans="1:11" hidden="1" x14ac:dyDescent="0.2">
      <c r="A733" s="3"/>
      <c r="B733" s="3"/>
      <c r="C733" s="3"/>
      <c r="D733" s="3"/>
      <c r="E733" s="3"/>
      <c r="F733" s="3"/>
      <c r="G733" s="3"/>
      <c r="H733" s="3"/>
      <c r="I733" s="3"/>
      <c r="J733" s="3"/>
      <c r="K733" s="3"/>
    </row>
    <row r="734" spans="1:11" hidden="1" x14ac:dyDescent="0.2">
      <c r="A734" s="3"/>
      <c r="B734" s="3"/>
      <c r="C734" s="3"/>
      <c r="D734" s="3"/>
      <c r="E734" s="3"/>
      <c r="F734" s="3"/>
      <c r="G734" s="3"/>
      <c r="H734" s="3"/>
      <c r="I734" s="3"/>
      <c r="J734" s="3"/>
      <c r="K734" s="3"/>
    </row>
    <row r="735" spans="1:11" hidden="1" x14ac:dyDescent="0.2">
      <c r="A735" s="3"/>
      <c r="B735" s="3"/>
      <c r="C735" s="3"/>
      <c r="D735" s="3"/>
      <c r="E735" s="3"/>
      <c r="F735" s="3"/>
      <c r="G735" s="3"/>
      <c r="H735" s="3"/>
      <c r="I735" s="3"/>
      <c r="J735" s="3"/>
      <c r="K735" s="3"/>
    </row>
    <row r="736" spans="1:11" hidden="1" x14ac:dyDescent="0.2">
      <c r="A736" s="3"/>
      <c r="B736" s="3"/>
      <c r="C736" s="3"/>
      <c r="D736" s="3"/>
      <c r="E736" s="3"/>
      <c r="F736" s="3"/>
      <c r="G736" s="3"/>
      <c r="H736" s="3"/>
      <c r="I736" s="3"/>
      <c r="J736" s="3"/>
      <c r="K736" s="3"/>
    </row>
    <row r="737" spans="1:11" hidden="1" x14ac:dyDescent="0.2">
      <c r="A737" s="3"/>
      <c r="B737" s="3"/>
      <c r="C737" s="3"/>
      <c r="D737" s="3"/>
      <c r="E737" s="3"/>
      <c r="F737" s="3"/>
      <c r="G737" s="3"/>
      <c r="H737" s="3"/>
      <c r="I737" s="3"/>
      <c r="J737" s="3"/>
      <c r="K737" s="3"/>
    </row>
    <row r="738" spans="1:11" hidden="1" x14ac:dyDescent="0.2">
      <c r="A738" s="3"/>
      <c r="B738" s="3"/>
      <c r="C738" s="3"/>
      <c r="D738" s="3"/>
      <c r="E738" s="3"/>
      <c r="F738" s="3"/>
      <c r="G738" s="3"/>
      <c r="H738" s="3"/>
      <c r="I738" s="3"/>
      <c r="J738" s="3"/>
      <c r="K738" s="3"/>
    </row>
    <row r="739" spans="1:11" hidden="1" x14ac:dyDescent="0.2">
      <c r="A739" s="3"/>
      <c r="B739" s="3"/>
      <c r="C739" s="3"/>
      <c r="D739" s="3"/>
      <c r="E739" s="3"/>
      <c r="F739" s="3"/>
      <c r="G739" s="3"/>
      <c r="H739" s="3"/>
      <c r="I739" s="3"/>
      <c r="J739" s="3"/>
      <c r="K739" s="3"/>
    </row>
    <row r="740" spans="1:11" hidden="1" x14ac:dyDescent="0.2">
      <c r="A740" s="3"/>
      <c r="B740" s="3"/>
      <c r="C740" s="3"/>
      <c r="D740" s="3"/>
      <c r="E740" s="3"/>
      <c r="F740" s="3"/>
      <c r="G740" s="3"/>
      <c r="H740" s="3"/>
      <c r="I740" s="3"/>
      <c r="J740" s="3"/>
      <c r="K740" s="3"/>
    </row>
    <row r="741" spans="1:11" hidden="1" x14ac:dyDescent="0.2">
      <c r="A741" s="3"/>
      <c r="B741" s="3"/>
      <c r="C741" s="3"/>
      <c r="D741" s="3"/>
      <c r="E741" s="3"/>
      <c r="F741" s="3"/>
      <c r="G741" s="3"/>
      <c r="H741" s="3"/>
      <c r="I741" s="3"/>
      <c r="J741" s="3"/>
      <c r="K741" s="3"/>
    </row>
    <row r="742" spans="1:11" hidden="1" x14ac:dyDescent="0.2">
      <c r="A742" s="3"/>
      <c r="B742" s="3"/>
      <c r="C742" s="3"/>
      <c r="D742" s="3"/>
      <c r="E742" s="3"/>
      <c r="F742" s="3"/>
      <c r="G742" s="3"/>
      <c r="H742" s="3"/>
      <c r="I742" s="3"/>
      <c r="J742" s="3"/>
      <c r="K742" s="3"/>
    </row>
    <row r="743" spans="1:11" hidden="1" x14ac:dyDescent="0.2">
      <c r="A743" s="3"/>
      <c r="B743" s="3"/>
      <c r="C743" s="3"/>
      <c r="D743" s="3"/>
      <c r="E743" s="3"/>
      <c r="F743" s="3"/>
      <c r="G743" s="3"/>
      <c r="H743" s="3"/>
      <c r="I743" s="3"/>
      <c r="J743" s="3"/>
      <c r="K743" s="3"/>
    </row>
    <row r="744" spans="1:11" hidden="1" x14ac:dyDescent="0.2">
      <c r="A744" s="3"/>
      <c r="B744" s="3"/>
      <c r="C744" s="3"/>
      <c r="D744" s="3"/>
      <c r="E744" s="3"/>
      <c r="F744" s="3"/>
      <c r="G744" s="3"/>
      <c r="H744" s="3"/>
      <c r="I744" s="3"/>
      <c r="J744" s="3"/>
      <c r="K744" s="3"/>
    </row>
    <row r="745" spans="1:11" hidden="1" x14ac:dyDescent="0.2">
      <c r="A745" s="3"/>
      <c r="B745" s="3"/>
      <c r="C745" s="3"/>
      <c r="D745" s="3"/>
      <c r="E745" s="3"/>
      <c r="F745" s="3"/>
      <c r="G745" s="3"/>
      <c r="H745" s="3"/>
      <c r="I745" s="3"/>
      <c r="J745" s="3"/>
      <c r="K745" s="3"/>
    </row>
    <row r="746" spans="1:11" hidden="1" x14ac:dyDescent="0.2">
      <c r="A746" s="3"/>
      <c r="B746" s="3"/>
      <c r="C746" s="3"/>
      <c r="D746" s="3"/>
      <c r="E746" s="3"/>
      <c r="F746" s="3"/>
      <c r="G746" s="3"/>
      <c r="H746" s="3"/>
      <c r="I746" s="3"/>
      <c r="J746" s="3"/>
      <c r="K746" s="3"/>
    </row>
    <row r="747" spans="1:11" hidden="1" x14ac:dyDescent="0.2">
      <c r="A747" s="3"/>
      <c r="B747" s="3"/>
      <c r="C747" s="3"/>
      <c r="D747" s="3"/>
      <c r="E747" s="3"/>
      <c r="F747" s="3"/>
      <c r="G747" s="3"/>
      <c r="H747" s="3"/>
      <c r="I747" s="3"/>
      <c r="J747" s="3"/>
      <c r="K747" s="3"/>
    </row>
    <row r="748" spans="1:11" hidden="1" x14ac:dyDescent="0.2">
      <c r="A748" s="3"/>
      <c r="B748" s="3"/>
      <c r="C748" s="3"/>
      <c r="D748" s="3"/>
      <c r="E748" s="3"/>
      <c r="F748" s="3"/>
      <c r="G748" s="3"/>
      <c r="H748" s="3"/>
      <c r="I748" s="3"/>
      <c r="J748" s="3"/>
      <c r="K748" s="3"/>
    </row>
    <row r="749" spans="1:11" hidden="1" x14ac:dyDescent="0.2">
      <c r="A749" s="3"/>
      <c r="B749" s="3"/>
      <c r="C749" s="3"/>
      <c r="D749" s="3"/>
      <c r="E749" s="3"/>
      <c r="F749" s="3"/>
      <c r="G749" s="3"/>
      <c r="H749" s="3"/>
      <c r="I749" s="3"/>
      <c r="J749" s="3"/>
      <c r="K749" s="3"/>
    </row>
    <row r="750" spans="1:11" hidden="1" x14ac:dyDescent="0.2">
      <c r="A750" s="3"/>
      <c r="B750" s="3"/>
      <c r="C750" s="3"/>
      <c r="D750" s="3"/>
      <c r="E750" s="3"/>
      <c r="F750" s="3"/>
      <c r="G750" s="3"/>
      <c r="H750" s="3"/>
      <c r="I750" s="3"/>
      <c r="J750" s="3"/>
      <c r="K750" s="3"/>
    </row>
    <row r="751" spans="1:11" hidden="1" x14ac:dyDescent="0.2">
      <c r="A751" s="3"/>
      <c r="B751" s="3"/>
      <c r="C751" s="3"/>
      <c r="D751" s="3"/>
      <c r="E751" s="3"/>
      <c r="F751" s="3"/>
      <c r="G751" s="3"/>
      <c r="H751" s="3"/>
      <c r="I751" s="3"/>
      <c r="J751" s="3"/>
      <c r="K751" s="3"/>
    </row>
    <row r="752" spans="1:11" hidden="1" x14ac:dyDescent="0.2">
      <c r="A752" s="3"/>
      <c r="B752" s="3"/>
      <c r="C752" s="3"/>
      <c r="D752" s="3"/>
      <c r="E752" s="3"/>
      <c r="F752" s="3"/>
      <c r="G752" s="3"/>
      <c r="H752" s="3"/>
      <c r="I752" s="3"/>
      <c r="J752" s="3"/>
      <c r="K752" s="3"/>
    </row>
    <row r="753" spans="1:11" hidden="1" x14ac:dyDescent="0.2">
      <c r="A753" s="3"/>
      <c r="B753" s="3"/>
      <c r="C753" s="3"/>
      <c r="D753" s="3"/>
      <c r="E753" s="3"/>
      <c r="F753" s="3"/>
      <c r="G753" s="3"/>
      <c r="H753" s="3"/>
      <c r="I753" s="3"/>
      <c r="J753" s="3"/>
      <c r="K753" s="3"/>
    </row>
    <row r="754" spans="1:11" hidden="1" x14ac:dyDescent="0.2">
      <c r="A754" s="3"/>
      <c r="B754" s="3"/>
      <c r="C754" s="3"/>
      <c r="D754" s="3"/>
      <c r="E754" s="3"/>
      <c r="F754" s="3"/>
      <c r="G754" s="3"/>
      <c r="H754" s="3"/>
      <c r="I754" s="3"/>
      <c r="J754" s="3"/>
      <c r="K754" s="3"/>
    </row>
    <row r="755" spans="1:11" hidden="1" x14ac:dyDescent="0.2">
      <c r="A755" s="3"/>
      <c r="B755" s="3"/>
      <c r="C755" s="3"/>
      <c r="D755" s="3"/>
      <c r="E755" s="3"/>
      <c r="F755" s="3"/>
      <c r="G755" s="3"/>
      <c r="H755" s="3"/>
      <c r="I755" s="3"/>
      <c r="J755" s="3"/>
      <c r="K755" s="3"/>
    </row>
    <row r="756" spans="1:11" hidden="1" x14ac:dyDescent="0.2">
      <c r="A756" s="3"/>
      <c r="B756" s="3"/>
      <c r="C756" s="3"/>
      <c r="D756" s="3"/>
      <c r="E756" s="3"/>
      <c r="F756" s="3"/>
      <c r="G756" s="3"/>
      <c r="H756" s="3"/>
      <c r="I756" s="3"/>
      <c r="J756" s="3"/>
      <c r="K756" s="3"/>
    </row>
    <row r="757" spans="1:11" hidden="1" x14ac:dyDescent="0.2">
      <c r="A757" s="3"/>
      <c r="B757" s="3"/>
      <c r="C757" s="3"/>
      <c r="D757" s="3"/>
      <c r="E757" s="3"/>
      <c r="F757" s="3"/>
      <c r="G757" s="3"/>
      <c r="H757" s="3"/>
      <c r="I757" s="3"/>
      <c r="J757" s="3"/>
      <c r="K757" s="3"/>
    </row>
    <row r="758" spans="1:11" hidden="1" x14ac:dyDescent="0.2">
      <c r="A758" s="3"/>
      <c r="B758" s="3"/>
      <c r="C758" s="3"/>
      <c r="D758" s="3"/>
      <c r="E758" s="3"/>
      <c r="F758" s="3"/>
      <c r="G758" s="3"/>
      <c r="H758" s="3"/>
      <c r="I758" s="3"/>
      <c r="J758" s="3"/>
      <c r="K758" s="3"/>
    </row>
    <row r="759" spans="1:11" hidden="1" x14ac:dyDescent="0.2">
      <c r="A759" s="3"/>
      <c r="B759" s="3"/>
      <c r="C759" s="3"/>
      <c r="D759" s="3"/>
      <c r="E759" s="3"/>
      <c r="F759" s="3"/>
      <c r="G759" s="3"/>
      <c r="H759" s="3"/>
      <c r="I759" s="3"/>
      <c r="J759" s="3"/>
      <c r="K759" s="3"/>
    </row>
    <row r="760" spans="1:11" hidden="1" x14ac:dyDescent="0.2">
      <c r="A760" s="3"/>
      <c r="B760" s="3"/>
      <c r="C760" s="3"/>
      <c r="D760" s="3"/>
      <c r="E760" s="3"/>
      <c r="F760" s="3"/>
      <c r="G760" s="3"/>
      <c r="H760" s="3"/>
      <c r="I760" s="3"/>
      <c r="J760" s="3"/>
      <c r="K760" s="3"/>
    </row>
    <row r="761" spans="1:11" hidden="1" x14ac:dyDescent="0.2">
      <c r="A761" s="3"/>
      <c r="B761" s="3"/>
      <c r="C761" s="3"/>
      <c r="D761" s="3"/>
      <c r="E761" s="3"/>
      <c r="F761" s="3"/>
      <c r="G761" s="3"/>
      <c r="H761" s="3"/>
      <c r="I761" s="3"/>
      <c r="J761" s="3"/>
      <c r="K761" s="3"/>
    </row>
    <row r="762" spans="1:11" hidden="1" x14ac:dyDescent="0.2">
      <c r="A762" s="3"/>
      <c r="B762" s="3"/>
      <c r="C762" s="3"/>
      <c r="D762" s="3"/>
      <c r="E762" s="3"/>
      <c r="F762" s="3"/>
      <c r="G762" s="3"/>
      <c r="H762" s="3"/>
      <c r="I762" s="3"/>
      <c r="J762" s="3"/>
      <c r="K762" s="3"/>
    </row>
    <row r="763" spans="1:11" hidden="1" x14ac:dyDescent="0.2">
      <c r="A763" s="3"/>
      <c r="B763" s="3"/>
      <c r="C763" s="3"/>
      <c r="D763" s="3"/>
      <c r="E763" s="3"/>
      <c r="F763" s="3"/>
      <c r="G763" s="3"/>
      <c r="H763" s="3"/>
      <c r="I763" s="3"/>
      <c r="J763" s="3"/>
      <c r="K763" s="3"/>
    </row>
    <row r="764" spans="1:11" hidden="1" x14ac:dyDescent="0.2">
      <c r="A764" s="3"/>
      <c r="B764" s="3"/>
      <c r="C764" s="3"/>
      <c r="D764" s="3"/>
      <c r="E764" s="3"/>
      <c r="F764" s="3"/>
      <c r="G764" s="3"/>
      <c r="H764" s="3"/>
      <c r="I764" s="3"/>
      <c r="J764" s="3"/>
      <c r="K764" s="3"/>
    </row>
    <row r="765" spans="1:11" hidden="1" x14ac:dyDescent="0.2">
      <c r="A765" s="3"/>
      <c r="B765" s="3"/>
      <c r="C765" s="3"/>
      <c r="D765" s="3"/>
      <c r="E765" s="3"/>
      <c r="F765" s="3"/>
      <c r="G765" s="3"/>
      <c r="H765" s="3"/>
      <c r="I765" s="3"/>
      <c r="J765" s="3"/>
      <c r="K765" s="3"/>
    </row>
    <row r="766" spans="1:11" hidden="1" x14ac:dyDescent="0.2">
      <c r="A766" s="3"/>
      <c r="B766" s="3"/>
      <c r="C766" s="3"/>
      <c r="D766" s="3"/>
      <c r="E766" s="3"/>
      <c r="F766" s="3"/>
      <c r="G766" s="3"/>
      <c r="H766" s="3"/>
      <c r="I766" s="3"/>
      <c r="J766" s="3"/>
      <c r="K766" s="3"/>
    </row>
    <row r="767" spans="1:11" hidden="1" x14ac:dyDescent="0.2">
      <c r="A767" s="3"/>
      <c r="B767" s="3"/>
      <c r="C767" s="3"/>
      <c r="D767" s="3"/>
      <c r="E767" s="3"/>
      <c r="F767" s="3"/>
      <c r="G767" s="3"/>
      <c r="H767" s="3"/>
      <c r="I767" s="3"/>
      <c r="J767" s="3"/>
      <c r="K767" s="3"/>
    </row>
    <row r="768" spans="1:11" hidden="1" x14ac:dyDescent="0.2">
      <c r="A768" s="3"/>
      <c r="B768" s="3"/>
      <c r="C768" s="3"/>
      <c r="D768" s="3"/>
      <c r="E768" s="3"/>
      <c r="F768" s="3"/>
      <c r="G768" s="3"/>
      <c r="H768" s="3"/>
      <c r="I768" s="3"/>
      <c r="J768" s="3"/>
      <c r="K768" s="3"/>
    </row>
    <row r="769" spans="1:11" hidden="1" x14ac:dyDescent="0.2">
      <c r="A769" s="3"/>
      <c r="B769" s="3"/>
      <c r="C769" s="3"/>
      <c r="D769" s="3"/>
      <c r="E769" s="3"/>
      <c r="F769" s="3"/>
      <c r="G769" s="3"/>
      <c r="H769" s="3"/>
      <c r="I769" s="3"/>
      <c r="J769" s="3"/>
      <c r="K769" s="3"/>
    </row>
    <row r="770" spans="1:11" hidden="1" x14ac:dyDescent="0.2">
      <c r="A770" s="3"/>
      <c r="B770" s="3"/>
      <c r="C770" s="3"/>
      <c r="D770" s="3"/>
      <c r="E770" s="3"/>
      <c r="F770" s="3"/>
      <c r="G770" s="3"/>
      <c r="H770" s="3"/>
      <c r="I770" s="3"/>
      <c r="J770" s="3"/>
      <c r="K770" s="3"/>
    </row>
    <row r="771" spans="1:11" hidden="1" x14ac:dyDescent="0.2">
      <c r="A771" s="3"/>
      <c r="B771" s="3"/>
      <c r="C771" s="3"/>
      <c r="D771" s="3"/>
      <c r="E771" s="3"/>
      <c r="F771" s="3"/>
      <c r="G771" s="3"/>
      <c r="H771" s="3"/>
      <c r="I771" s="3"/>
      <c r="J771" s="3"/>
      <c r="K771" s="3"/>
    </row>
    <row r="772" spans="1:11" hidden="1" x14ac:dyDescent="0.2">
      <c r="A772" s="3"/>
      <c r="B772" s="3"/>
      <c r="C772" s="3"/>
      <c r="D772" s="3"/>
      <c r="E772" s="3"/>
      <c r="F772" s="3"/>
      <c r="G772" s="3"/>
      <c r="H772" s="3"/>
      <c r="I772" s="3"/>
      <c r="J772" s="3"/>
      <c r="K772" s="3"/>
    </row>
    <row r="773" spans="1:11" hidden="1" x14ac:dyDescent="0.2">
      <c r="A773" s="3"/>
      <c r="B773" s="3"/>
      <c r="C773" s="3"/>
      <c r="D773" s="3"/>
      <c r="E773" s="3"/>
      <c r="F773" s="3"/>
      <c r="G773" s="3"/>
      <c r="H773" s="3"/>
      <c r="I773" s="3"/>
      <c r="J773" s="3"/>
      <c r="K773" s="3"/>
    </row>
    <row r="774" spans="1:11" hidden="1" x14ac:dyDescent="0.2">
      <c r="A774" s="3"/>
      <c r="B774" s="3"/>
      <c r="C774" s="3"/>
      <c r="D774" s="3"/>
      <c r="E774" s="3"/>
      <c r="F774" s="3"/>
      <c r="G774" s="3"/>
      <c r="H774" s="3"/>
      <c r="I774" s="3"/>
      <c r="J774" s="3"/>
      <c r="K774" s="3"/>
    </row>
    <row r="775" spans="1:11" hidden="1" x14ac:dyDescent="0.2">
      <c r="A775" s="3"/>
      <c r="B775" s="3"/>
      <c r="C775" s="3"/>
      <c r="D775" s="3"/>
      <c r="E775" s="3"/>
      <c r="F775" s="3"/>
      <c r="G775" s="3"/>
      <c r="H775" s="3"/>
      <c r="I775" s="3"/>
      <c r="J775" s="3"/>
      <c r="K775" s="3"/>
    </row>
    <row r="776" spans="1:11" hidden="1" x14ac:dyDescent="0.2">
      <c r="A776" s="3"/>
      <c r="B776" s="3"/>
      <c r="C776" s="3"/>
      <c r="D776" s="3"/>
      <c r="E776" s="3"/>
      <c r="F776" s="3"/>
      <c r="G776" s="3"/>
      <c r="H776" s="3"/>
      <c r="I776" s="3"/>
      <c r="J776" s="3"/>
      <c r="K776" s="3"/>
    </row>
    <row r="777" spans="1:11" hidden="1" x14ac:dyDescent="0.2">
      <c r="A777" s="3"/>
      <c r="B777" s="3"/>
      <c r="C777" s="3"/>
      <c r="D777" s="3"/>
      <c r="E777" s="3"/>
      <c r="F777" s="3"/>
      <c r="G777" s="3"/>
      <c r="H777" s="3"/>
      <c r="I777" s="3"/>
      <c r="J777" s="3"/>
      <c r="K777" s="3"/>
    </row>
    <row r="778" spans="1:11" hidden="1" x14ac:dyDescent="0.2">
      <c r="A778" s="3"/>
      <c r="B778" s="3"/>
      <c r="C778" s="3"/>
      <c r="D778" s="3"/>
      <c r="E778" s="3"/>
      <c r="F778" s="3"/>
      <c r="G778" s="3"/>
      <c r="H778" s="3"/>
      <c r="I778" s="3"/>
      <c r="J778" s="3"/>
      <c r="K778" s="3"/>
    </row>
    <row r="779" spans="1:11" hidden="1" x14ac:dyDescent="0.2">
      <c r="A779" s="3"/>
      <c r="B779" s="3"/>
      <c r="C779" s="3"/>
      <c r="D779" s="3"/>
      <c r="E779" s="3"/>
      <c r="F779" s="3"/>
      <c r="G779" s="3"/>
      <c r="H779" s="3"/>
      <c r="I779" s="3"/>
      <c r="J779" s="3"/>
      <c r="K779" s="3"/>
    </row>
    <row r="780" spans="1:11" hidden="1" x14ac:dyDescent="0.2">
      <c r="A780" s="3"/>
      <c r="B780" s="3"/>
      <c r="C780" s="3"/>
      <c r="D780" s="3"/>
      <c r="E780" s="3"/>
      <c r="F780" s="3"/>
      <c r="G780" s="3"/>
      <c r="H780" s="3"/>
      <c r="I780" s="3"/>
      <c r="J780" s="3"/>
      <c r="K780" s="3"/>
    </row>
    <row r="781" spans="1:11" hidden="1" x14ac:dyDescent="0.2">
      <c r="A781" s="3"/>
      <c r="B781" s="3"/>
      <c r="C781" s="3"/>
      <c r="D781" s="3"/>
      <c r="E781" s="3"/>
      <c r="F781" s="3"/>
      <c r="G781" s="3"/>
      <c r="H781" s="3"/>
      <c r="I781" s="3"/>
      <c r="J781" s="3"/>
      <c r="K781" s="3"/>
    </row>
    <row r="782" spans="1:11" hidden="1" x14ac:dyDescent="0.2">
      <c r="A782" s="3"/>
      <c r="B782" s="3"/>
      <c r="C782" s="3"/>
      <c r="D782" s="3"/>
      <c r="E782" s="3"/>
      <c r="F782" s="3"/>
      <c r="G782" s="3"/>
      <c r="H782" s="3"/>
      <c r="I782" s="3"/>
      <c r="J782" s="3"/>
      <c r="K782" s="3"/>
    </row>
    <row r="783" spans="1:11" hidden="1" x14ac:dyDescent="0.2">
      <c r="A783" s="3"/>
      <c r="B783" s="3"/>
      <c r="C783" s="3"/>
      <c r="D783" s="3"/>
      <c r="E783" s="3"/>
      <c r="F783" s="3"/>
      <c r="G783" s="3"/>
      <c r="H783" s="3"/>
      <c r="I783" s="3"/>
      <c r="J783" s="3"/>
      <c r="K783" s="3"/>
    </row>
    <row r="784" spans="1:11" hidden="1" x14ac:dyDescent="0.2">
      <c r="A784" s="3"/>
      <c r="B784" s="3"/>
      <c r="C784" s="3"/>
      <c r="D784" s="3"/>
      <c r="E784" s="3"/>
      <c r="F784" s="3"/>
      <c r="G784" s="3"/>
      <c r="H784" s="3"/>
      <c r="I784" s="3"/>
      <c r="J784" s="3"/>
      <c r="K784" s="3"/>
    </row>
    <row r="785" spans="1:11" hidden="1" x14ac:dyDescent="0.2">
      <c r="A785" s="3"/>
      <c r="B785" s="3"/>
      <c r="C785" s="3"/>
      <c r="D785" s="3"/>
      <c r="E785" s="3"/>
      <c r="F785" s="3"/>
      <c r="G785" s="3"/>
      <c r="H785" s="3"/>
      <c r="I785" s="3"/>
      <c r="J785" s="3"/>
      <c r="K785" s="3"/>
    </row>
    <row r="786" spans="1:11" hidden="1" x14ac:dyDescent="0.2">
      <c r="A786" s="3"/>
      <c r="B786" s="3"/>
      <c r="C786" s="3"/>
      <c r="D786" s="3"/>
      <c r="E786" s="3"/>
      <c r="F786" s="3"/>
      <c r="G786" s="3"/>
      <c r="H786" s="3"/>
      <c r="I786" s="3"/>
      <c r="J786" s="3"/>
      <c r="K786" s="3"/>
    </row>
    <row r="787" spans="1:11" hidden="1" x14ac:dyDescent="0.2">
      <c r="A787" s="3"/>
      <c r="B787" s="3"/>
      <c r="C787" s="3"/>
      <c r="D787" s="3"/>
      <c r="E787" s="3"/>
      <c r="F787" s="3"/>
      <c r="G787" s="3"/>
      <c r="H787" s="3"/>
      <c r="I787" s="3"/>
      <c r="J787" s="3"/>
      <c r="K787" s="3"/>
    </row>
    <row r="788" spans="1:11" hidden="1" x14ac:dyDescent="0.2">
      <c r="A788" s="3"/>
      <c r="B788" s="3"/>
      <c r="C788" s="3"/>
      <c r="D788" s="3"/>
      <c r="E788" s="3"/>
      <c r="F788" s="3"/>
      <c r="G788" s="3"/>
      <c r="H788" s="3"/>
      <c r="I788" s="3"/>
      <c r="J788" s="3"/>
      <c r="K788" s="3"/>
    </row>
    <row r="789" spans="1:11" hidden="1" x14ac:dyDescent="0.2">
      <c r="A789" s="3"/>
      <c r="B789" s="3"/>
      <c r="C789" s="3"/>
      <c r="D789" s="3"/>
      <c r="E789" s="3"/>
      <c r="F789" s="3"/>
      <c r="G789" s="3"/>
      <c r="H789" s="3"/>
      <c r="I789" s="3"/>
      <c r="J789" s="3"/>
      <c r="K789" s="3"/>
    </row>
    <row r="790" spans="1:11" hidden="1" x14ac:dyDescent="0.2">
      <c r="A790" s="3"/>
      <c r="B790" s="3"/>
      <c r="C790" s="3"/>
      <c r="D790" s="3"/>
      <c r="E790" s="3"/>
      <c r="F790" s="3"/>
      <c r="G790" s="3"/>
      <c r="H790" s="3"/>
      <c r="I790" s="3"/>
      <c r="J790" s="3"/>
      <c r="K790" s="3"/>
    </row>
    <row r="791" spans="1:11" hidden="1" x14ac:dyDescent="0.2">
      <c r="A791" s="3"/>
      <c r="B791" s="3"/>
      <c r="C791" s="3"/>
      <c r="D791" s="3"/>
      <c r="E791" s="3"/>
      <c r="F791" s="3"/>
      <c r="G791" s="3"/>
      <c r="H791" s="3"/>
      <c r="I791" s="3"/>
      <c r="J791" s="3"/>
      <c r="K791" s="3"/>
    </row>
    <row r="792" spans="1:11" hidden="1" x14ac:dyDescent="0.2">
      <c r="A792" s="3"/>
      <c r="B792" s="3"/>
      <c r="C792" s="3"/>
      <c r="D792" s="3"/>
      <c r="E792" s="3"/>
      <c r="F792" s="3"/>
      <c r="G792" s="3"/>
      <c r="H792" s="3"/>
      <c r="I792" s="3"/>
      <c r="J792" s="3"/>
      <c r="K792" s="3"/>
    </row>
    <row r="793" spans="1:11" hidden="1" x14ac:dyDescent="0.2">
      <c r="A793" s="3"/>
      <c r="B793" s="3"/>
      <c r="C793" s="3"/>
      <c r="D793" s="3"/>
      <c r="E793" s="3"/>
      <c r="F793" s="3"/>
      <c r="G793" s="3"/>
      <c r="H793" s="3"/>
      <c r="I793" s="3"/>
      <c r="J793" s="3"/>
      <c r="K793" s="3"/>
    </row>
    <row r="794" spans="1:11" hidden="1" x14ac:dyDescent="0.2">
      <c r="A794" s="3"/>
      <c r="B794" s="3"/>
      <c r="C794" s="3"/>
      <c r="D794" s="3"/>
      <c r="E794" s="3"/>
      <c r="F794" s="3"/>
      <c r="G794" s="3"/>
      <c r="H794" s="3"/>
      <c r="I794" s="3"/>
      <c r="J794" s="3"/>
      <c r="K794" s="3"/>
    </row>
    <row r="795" spans="1:11" hidden="1" x14ac:dyDescent="0.2">
      <c r="A795" s="3"/>
      <c r="B795" s="3"/>
      <c r="C795" s="3"/>
      <c r="D795" s="3"/>
      <c r="E795" s="3"/>
      <c r="F795" s="3"/>
      <c r="G795" s="3"/>
      <c r="H795" s="3"/>
      <c r="I795" s="3"/>
      <c r="J795" s="3"/>
      <c r="K795" s="3"/>
    </row>
    <row r="796" spans="1:11" hidden="1" x14ac:dyDescent="0.2">
      <c r="A796" s="3"/>
      <c r="B796" s="3"/>
      <c r="C796" s="3"/>
      <c r="D796" s="3"/>
      <c r="E796" s="3"/>
      <c r="F796" s="3"/>
      <c r="G796" s="3"/>
      <c r="H796" s="3"/>
      <c r="I796" s="3"/>
      <c r="J796" s="3"/>
      <c r="K796" s="3"/>
    </row>
    <row r="797" spans="1:11" hidden="1" x14ac:dyDescent="0.2">
      <c r="A797" s="3"/>
      <c r="B797" s="3"/>
      <c r="C797" s="3"/>
      <c r="D797" s="3"/>
      <c r="E797" s="3"/>
      <c r="F797" s="3"/>
      <c r="G797" s="3"/>
      <c r="H797" s="3"/>
      <c r="I797" s="3"/>
      <c r="J797" s="3"/>
      <c r="K797" s="3"/>
    </row>
    <row r="798" spans="1:11" hidden="1" x14ac:dyDescent="0.2">
      <c r="A798" s="3"/>
      <c r="B798" s="3"/>
      <c r="C798" s="3"/>
      <c r="D798" s="3"/>
      <c r="E798" s="3"/>
      <c r="F798" s="3"/>
      <c r="G798" s="3"/>
      <c r="H798" s="3"/>
      <c r="I798" s="3"/>
      <c r="J798" s="3"/>
      <c r="K798" s="3"/>
    </row>
    <row r="799" spans="1:11" hidden="1" x14ac:dyDescent="0.2">
      <c r="A799" s="3"/>
      <c r="B799" s="3"/>
      <c r="C799" s="3"/>
      <c r="D799" s="3"/>
      <c r="E799" s="3"/>
      <c r="F799" s="3"/>
      <c r="G799" s="3"/>
      <c r="H799" s="3"/>
      <c r="I799" s="3"/>
      <c r="J799" s="3"/>
      <c r="K799" s="3"/>
    </row>
    <row r="800" spans="1:11" hidden="1" x14ac:dyDescent="0.2">
      <c r="A800" s="3"/>
      <c r="B800" s="3"/>
      <c r="C800" s="3"/>
      <c r="D800" s="3"/>
      <c r="E800" s="3"/>
      <c r="F800" s="3"/>
      <c r="G800" s="3"/>
      <c r="H800" s="3"/>
      <c r="I800" s="3"/>
      <c r="J800" s="3"/>
      <c r="K800" s="3"/>
    </row>
    <row r="801" spans="1:11" hidden="1" x14ac:dyDescent="0.2">
      <c r="A801" s="3"/>
      <c r="B801" s="3"/>
      <c r="C801" s="3"/>
      <c r="D801" s="3"/>
      <c r="E801" s="3"/>
      <c r="F801" s="3"/>
      <c r="G801" s="3"/>
      <c r="H801" s="3"/>
      <c r="I801" s="3"/>
      <c r="J801" s="3"/>
      <c r="K801" s="3"/>
    </row>
    <row r="802" spans="1:11" hidden="1" x14ac:dyDescent="0.2">
      <c r="A802" s="3"/>
      <c r="B802" s="3"/>
      <c r="C802" s="3"/>
      <c r="D802" s="3"/>
      <c r="E802" s="3"/>
      <c r="F802" s="3"/>
      <c r="G802" s="3"/>
      <c r="H802" s="3"/>
      <c r="I802" s="3"/>
      <c r="J802" s="3"/>
      <c r="K802" s="3"/>
    </row>
    <row r="803" spans="1:11" hidden="1" x14ac:dyDescent="0.2">
      <c r="A803" s="3"/>
      <c r="B803" s="3"/>
      <c r="C803" s="3"/>
      <c r="D803" s="3"/>
      <c r="E803" s="3"/>
      <c r="F803" s="3"/>
      <c r="G803" s="3"/>
      <c r="H803" s="3"/>
      <c r="I803" s="3"/>
      <c r="J803" s="3"/>
      <c r="K803" s="3"/>
    </row>
    <row r="804" spans="1:11" hidden="1" x14ac:dyDescent="0.2">
      <c r="A804" s="3"/>
      <c r="B804" s="3"/>
      <c r="C804" s="3"/>
      <c r="D804" s="3"/>
      <c r="E804" s="3"/>
      <c r="F804" s="3"/>
      <c r="G804" s="3"/>
      <c r="H804" s="3"/>
      <c r="I804" s="3"/>
      <c r="J804" s="3"/>
      <c r="K804" s="3"/>
    </row>
    <row r="805" spans="1:11" hidden="1" x14ac:dyDescent="0.2">
      <c r="A805" s="3"/>
      <c r="B805" s="3"/>
      <c r="C805" s="3"/>
      <c r="D805" s="3"/>
      <c r="E805" s="3"/>
      <c r="F805" s="3"/>
      <c r="G805" s="3"/>
      <c r="H805" s="3"/>
      <c r="I805" s="3"/>
      <c r="J805" s="3"/>
      <c r="K805" s="3"/>
    </row>
    <row r="806" spans="1:11" hidden="1" x14ac:dyDescent="0.2">
      <c r="A806" s="3"/>
      <c r="B806" s="3"/>
      <c r="C806" s="3"/>
      <c r="D806" s="3"/>
      <c r="E806" s="3"/>
      <c r="F806" s="3"/>
      <c r="G806" s="3"/>
      <c r="H806" s="3"/>
      <c r="I806" s="3"/>
      <c r="J806" s="3"/>
      <c r="K806" s="3"/>
    </row>
    <row r="807" spans="1:11" hidden="1" x14ac:dyDescent="0.2">
      <c r="A807" s="3"/>
      <c r="B807" s="3"/>
      <c r="C807" s="3"/>
      <c r="D807" s="3"/>
      <c r="E807" s="3"/>
      <c r="F807" s="3"/>
      <c r="G807" s="3"/>
      <c r="H807" s="3"/>
      <c r="I807" s="3"/>
      <c r="J807" s="3"/>
      <c r="K807" s="3"/>
    </row>
    <row r="808" spans="1:11" hidden="1" x14ac:dyDescent="0.2">
      <c r="A808" s="3"/>
      <c r="B808" s="3"/>
      <c r="C808" s="3"/>
      <c r="D808" s="3"/>
      <c r="E808" s="3"/>
      <c r="F808" s="3"/>
      <c r="G808" s="3"/>
      <c r="H808" s="3"/>
      <c r="I808" s="3"/>
      <c r="J808" s="3"/>
      <c r="K808" s="3"/>
    </row>
    <row r="809" spans="1:11" hidden="1" x14ac:dyDescent="0.2">
      <c r="A809" s="3"/>
      <c r="B809" s="3"/>
      <c r="C809" s="3"/>
      <c r="D809" s="3"/>
      <c r="E809" s="3"/>
      <c r="F809" s="3"/>
      <c r="G809" s="3"/>
      <c r="H809" s="3"/>
      <c r="I809" s="3"/>
      <c r="J809" s="3"/>
      <c r="K809" s="3"/>
    </row>
    <row r="810" spans="1:11" hidden="1" x14ac:dyDescent="0.2">
      <c r="A810" s="3"/>
      <c r="B810" s="3"/>
      <c r="C810" s="3"/>
      <c r="D810" s="3"/>
      <c r="E810" s="3"/>
      <c r="F810" s="3"/>
      <c r="G810" s="3"/>
      <c r="H810" s="3"/>
      <c r="I810" s="3"/>
      <c r="J810" s="3"/>
      <c r="K810" s="3"/>
    </row>
    <row r="811" spans="1:11" hidden="1" x14ac:dyDescent="0.2">
      <c r="A811" s="3"/>
      <c r="B811" s="3"/>
      <c r="C811" s="3"/>
      <c r="D811" s="3"/>
      <c r="E811" s="3"/>
      <c r="F811" s="3"/>
      <c r="G811" s="3"/>
      <c r="H811" s="3"/>
      <c r="I811" s="3"/>
      <c r="J811" s="3"/>
      <c r="K811" s="3"/>
    </row>
    <row r="812" spans="1:11" hidden="1" x14ac:dyDescent="0.2">
      <c r="A812" s="3"/>
      <c r="B812" s="3"/>
      <c r="C812" s="3"/>
      <c r="D812" s="3"/>
      <c r="E812" s="3"/>
      <c r="F812" s="3"/>
      <c r="G812" s="3"/>
      <c r="H812" s="3"/>
      <c r="I812" s="3"/>
      <c r="J812" s="3"/>
      <c r="K812" s="3"/>
    </row>
    <row r="813" spans="1:11" hidden="1" x14ac:dyDescent="0.2">
      <c r="A813" s="3"/>
      <c r="B813" s="3"/>
      <c r="C813" s="3"/>
      <c r="D813" s="3"/>
      <c r="E813" s="3"/>
      <c r="F813" s="3"/>
      <c r="G813" s="3"/>
      <c r="H813" s="3"/>
      <c r="I813" s="3"/>
      <c r="J813" s="3"/>
      <c r="K813" s="3"/>
    </row>
    <row r="814" spans="1:11" hidden="1" x14ac:dyDescent="0.2">
      <c r="A814" s="3"/>
      <c r="B814" s="3"/>
      <c r="C814" s="3"/>
      <c r="D814" s="3"/>
      <c r="E814" s="3"/>
      <c r="F814" s="3"/>
      <c r="G814" s="3"/>
      <c r="H814" s="3"/>
      <c r="I814" s="3"/>
      <c r="J814" s="3"/>
      <c r="K814" s="3"/>
    </row>
    <row r="815" spans="1:11" hidden="1" x14ac:dyDescent="0.2">
      <c r="A815" s="3"/>
      <c r="B815" s="3"/>
      <c r="C815" s="3"/>
      <c r="D815" s="3"/>
      <c r="E815" s="3"/>
      <c r="F815" s="3"/>
      <c r="G815" s="3"/>
      <c r="H815" s="3"/>
      <c r="I815" s="3"/>
      <c r="J815" s="3"/>
      <c r="K815" s="3"/>
    </row>
    <row r="816" spans="1:11" hidden="1" x14ac:dyDescent="0.2">
      <c r="A816" s="3"/>
      <c r="B816" s="3"/>
      <c r="C816" s="3"/>
      <c r="D816" s="3"/>
      <c r="E816" s="3"/>
      <c r="F816" s="3"/>
      <c r="G816" s="3"/>
      <c r="H816" s="3"/>
      <c r="I816" s="3"/>
      <c r="J816" s="3"/>
      <c r="K816" s="3"/>
    </row>
    <row r="817" spans="1:11" hidden="1" x14ac:dyDescent="0.2">
      <c r="A817" s="3"/>
      <c r="B817" s="3"/>
      <c r="C817" s="3"/>
      <c r="D817" s="3"/>
      <c r="E817" s="3"/>
      <c r="F817" s="3"/>
      <c r="G817" s="3"/>
      <c r="H817" s="3"/>
      <c r="I817" s="3"/>
      <c r="J817" s="3"/>
      <c r="K817" s="3"/>
    </row>
    <row r="818" spans="1:11" hidden="1" x14ac:dyDescent="0.2">
      <c r="A818" s="3"/>
      <c r="B818" s="3"/>
      <c r="C818" s="3"/>
      <c r="D818" s="3"/>
      <c r="E818" s="3"/>
      <c r="F818" s="3"/>
      <c r="G818" s="3"/>
      <c r="H818" s="3"/>
      <c r="I818" s="3"/>
      <c r="J818" s="3"/>
      <c r="K818" s="3"/>
    </row>
    <row r="819" spans="1:11" hidden="1" x14ac:dyDescent="0.2">
      <c r="A819" s="3"/>
      <c r="B819" s="3"/>
      <c r="C819" s="3"/>
      <c r="D819" s="3"/>
      <c r="E819" s="3"/>
      <c r="F819" s="3"/>
      <c r="G819" s="3"/>
      <c r="H819" s="3"/>
      <c r="I819" s="3"/>
      <c r="J819" s="3"/>
      <c r="K819" s="3"/>
    </row>
    <row r="820" spans="1:11" hidden="1" x14ac:dyDescent="0.2">
      <c r="A820" s="3"/>
      <c r="B820" s="3"/>
      <c r="C820" s="3"/>
      <c r="D820" s="3"/>
      <c r="E820" s="3"/>
      <c r="F820" s="3"/>
      <c r="G820" s="3"/>
      <c r="H820" s="3"/>
      <c r="I820" s="3"/>
      <c r="J820" s="3"/>
      <c r="K820" s="3"/>
    </row>
    <row r="821" spans="1:11" hidden="1" x14ac:dyDescent="0.2">
      <c r="A821" s="3"/>
      <c r="B821" s="3"/>
      <c r="C821" s="3"/>
      <c r="D821" s="3"/>
      <c r="E821" s="3"/>
      <c r="F821" s="3"/>
      <c r="G821" s="3"/>
      <c r="H821" s="3"/>
      <c r="I821" s="3"/>
      <c r="J821" s="3"/>
      <c r="K821" s="3"/>
    </row>
    <row r="822" spans="1:11" hidden="1" x14ac:dyDescent="0.2">
      <c r="A822" s="3"/>
      <c r="B822" s="3"/>
      <c r="C822" s="3"/>
      <c r="D822" s="3"/>
      <c r="E822" s="3"/>
      <c r="F822" s="3"/>
      <c r="G822" s="3"/>
      <c r="H822" s="3"/>
      <c r="I822" s="3"/>
      <c r="J822" s="3"/>
      <c r="K822" s="3"/>
    </row>
    <row r="823" spans="1:11" hidden="1" x14ac:dyDescent="0.2">
      <c r="A823" s="3"/>
      <c r="B823" s="3"/>
      <c r="C823" s="3"/>
      <c r="D823" s="3"/>
      <c r="E823" s="3"/>
      <c r="F823" s="3"/>
      <c r="G823" s="3"/>
      <c r="H823" s="3"/>
      <c r="I823" s="3"/>
      <c r="J823" s="3"/>
      <c r="K823" s="3"/>
    </row>
    <row r="824" spans="1:11" hidden="1" x14ac:dyDescent="0.2">
      <c r="A824" s="3"/>
      <c r="B824" s="3"/>
      <c r="C824" s="3"/>
      <c r="D824" s="3"/>
      <c r="E824" s="3"/>
      <c r="F824" s="3"/>
      <c r="G824" s="3"/>
      <c r="H824" s="3"/>
      <c r="I824" s="3"/>
      <c r="J824" s="3"/>
      <c r="K824" s="3"/>
    </row>
    <row r="825" spans="1:11" hidden="1" x14ac:dyDescent="0.2">
      <c r="A825" s="3"/>
      <c r="B825" s="3"/>
      <c r="C825" s="3"/>
      <c r="D825" s="3"/>
      <c r="E825" s="3"/>
      <c r="F825" s="3"/>
      <c r="G825" s="3"/>
      <c r="H825" s="3"/>
      <c r="I825" s="3"/>
      <c r="J825" s="3"/>
      <c r="K825" s="3"/>
    </row>
    <row r="826" spans="1:11" hidden="1" x14ac:dyDescent="0.2">
      <c r="A826" s="3"/>
      <c r="B826" s="3"/>
      <c r="C826" s="3"/>
      <c r="D826" s="3"/>
      <c r="E826" s="3"/>
      <c r="F826" s="3"/>
      <c r="G826" s="3"/>
      <c r="H826" s="3"/>
      <c r="I826" s="3"/>
      <c r="J826" s="3"/>
      <c r="K826" s="3"/>
    </row>
    <row r="827" spans="1:11" hidden="1" x14ac:dyDescent="0.2">
      <c r="A827" s="3"/>
      <c r="B827" s="3"/>
      <c r="C827" s="3"/>
      <c r="D827" s="3"/>
      <c r="E827" s="3"/>
      <c r="F827" s="3"/>
      <c r="G827" s="3"/>
      <c r="H827" s="3"/>
      <c r="I827" s="3"/>
      <c r="J827" s="3"/>
      <c r="K827" s="3"/>
    </row>
    <row r="828" spans="1:11" hidden="1" x14ac:dyDescent="0.2">
      <c r="A828" s="3"/>
      <c r="B828" s="3"/>
      <c r="C828" s="3"/>
      <c r="D828" s="3"/>
      <c r="E828" s="3"/>
      <c r="F828" s="3"/>
      <c r="G828" s="3"/>
      <c r="H828" s="3"/>
      <c r="I828" s="3"/>
      <c r="J828" s="3"/>
      <c r="K828" s="3"/>
    </row>
    <row r="829" spans="1:11" hidden="1" x14ac:dyDescent="0.2">
      <c r="A829" s="3"/>
      <c r="B829" s="3"/>
      <c r="C829" s="3"/>
      <c r="D829" s="3"/>
      <c r="E829" s="3"/>
      <c r="F829" s="3"/>
      <c r="G829" s="3"/>
      <c r="H829" s="3"/>
      <c r="I829" s="3"/>
      <c r="J829" s="3"/>
      <c r="K829" s="3"/>
    </row>
    <row r="830" spans="1:11" hidden="1" x14ac:dyDescent="0.2">
      <c r="A830" s="3"/>
      <c r="B830" s="3"/>
      <c r="C830" s="3"/>
      <c r="D830" s="3"/>
      <c r="E830" s="3"/>
      <c r="F830" s="3"/>
      <c r="G830" s="3"/>
      <c r="H830" s="3"/>
      <c r="I830" s="3"/>
      <c r="J830" s="3"/>
      <c r="K830" s="3"/>
    </row>
    <row r="831" spans="1:11" hidden="1" x14ac:dyDescent="0.2">
      <c r="A831" s="3"/>
      <c r="B831" s="3"/>
      <c r="C831" s="3"/>
      <c r="D831" s="3"/>
      <c r="E831" s="3"/>
      <c r="F831" s="3"/>
      <c r="G831" s="3"/>
      <c r="H831" s="3"/>
      <c r="I831" s="3"/>
      <c r="J831" s="3"/>
      <c r="K831" s="3"/>
    </row>
    <row r="832" spans="1:11" hidden="1" x14ac:dyDescent="0.2">
      <c r="A832" s="3"/>
      <c r="B832" s="3"/>
      <c r="C832" s="3"/>
      <c r="D832" s="3"/>
      <c r="E832" s="3"/>
      <c r="F832" s="3"/>
      <c r="G832" s="3"/>
      <c r="H832" s="3"/>
      <c r="I832" s="3"/>
      <c r="J832" s="3"/>
      <c r="K832" s="3"/>
    </row>
    <row r="833" spans="1:11" hidden="1" x14ac:dyDescent="0.2">
      <c r="A833" s="3"/>
      <c r="B833" s="3"/>
      <c r="C833" s="3"/>
      <c r="D833" s="3"/>
      <c r="E833" s="3"/>
      <c r="F833" s="3"/>
      <c r="G833" s="3"/>
      <c r="H833" s="3"/>
      <c r="I833" s="3"/>
      <c r="J833" s="3"/>
      <c r="K833" s="3"/>
    </row>
    <row r="834" spans="1:11" hidden="1" x14ac:dyDescent="0.2">
      <c r="A834" s="3"/>
      <c r="B834" s="3"/>
      <c r="C834" s="3"/>
      <c r="D834" s="3"/>
      <c r="E834" s="3"/>
      <c r="F834" s="3"/>
      <c r="G834" s="3"/>
      <c r="H834" s="3"/>
      <c r="I834" s="3"/>
      <c r="J834" s="3"/>
      <c r="K834" s="3"/>
    </row>
    <row r="835" spans="1:11" hidden="1" x14ac:dyDescent="0.2">
      <c r="A835" s="3"/>
      <c r="B835" s="3"/>
      <c r="C835" s="3"/>
      <c r="D835" s="3"/>
      <c r="E835" s="3"/>
      <c r="F835" s="3"/>
      <c r="G835" s="3"/>
      <c r="H835" s="3"/>
      <c r="I835" s="3"/>
      <c r="J835" s="3"/>
      <c r="K835" s="3"/>
    </row>
    <row r="836" spans="1:11" hidden="1" x14ac:dyDescent="0.2">
      <c r="A836" s="3"/>
      <c r="B836" s="3"/>
      <c r="C836" s="3"/>
      <c r="D836" s="3"/>
      <c r="E836" s="3"/>
      <c r="F836" s="3"/>
      <c r="G836" s="3"/>
      <c r="H836" s="3"/>
      <c r="I836" s="3"/>
      <c r="J836" s="3"/>
      <c r="K836" s="3"/>
    </row>
    <row r="837" spans="1:11" hidden="1" x14ac:dyDescent="0.2">
      <c r="A837" s="3"/>
      <c r="B837" s="3"/>
      <c r="C837" s="3"/>
      <c r="D837" s="3"/>
      <c r="E837" s="3"/>
      <c r="F837" s="3"/>
      <c r="G837" s="3"/>
      <c r="H837" s="3"/>
      <c r="I837" s="3"/>
      <c r="J837" s="3"/>
      <c r="K837" s="3"/>
    </row>
    <row r="838" spans="1:11" hidden="1" x14ac:dyDescent="0.2">
      <c r="A838" s="3"/>
      <c r="B838" s="3"/>
      <c r="C838" s="3"/>
      <c r="D838" s="3"/>
      <c r="E838" s="3"/>
      <c r="F838" s="3"/>
      <c r="G838" s="3"/>
      <c r="H838" s="3"/>
      <c r="I838" s="3"/>
      <c r="J838" s="3"/>
      <c r="K838" s="3"/>
    </row>
    <row r="839" spans="1:11" hidden="1" x14ac:dyDescent="0.2">
      <c r="A839" s="3"/>
      <c r="B839" s="3"/>
      <c r="C839" s="3"/>
      <c r="D839" s="3"/>
      <c r="E839" s="3"/>
      <c r="F839" s="3"/>
      <c r="G839" s="3"/>
      <c r="H839" s="3"/>
      <c r="I839" s="3"/>
      <c r="J839" s="3"/>
      <c r="K839" s="3"/>
    </row>
    <row r="840" spans="1:11" hidden="1" x14ac:dyDescent="0.2">
      <c r="A840" s="3"/>
      <c r="B840" s="3"/>
      <c r="C840" s="3"/>
      <c r="D840" s="3"/>
      <c r="E840" s="3"/>
      <c r="F840" s="3"/>
      <c r="G840" s="3"/>
      <c r="H840" s="3"/>
      <c r="I840" s="3"/>
      <c r="J840" s="3"/>
      <c r="K840" s="3"/>
    </row>
    <row r="841" spans="1:11" hidden="1" x14ac:dyDescent="0.2">
      <c r="A841" s="3"/>
      <c r="B841" s="3"/>
      <c r="C841" s="3"/>
      <c r="D841" s="3"/>
      <c r="E841" s="3"/>
      <c r="F841" s="3"/>
      <c r="G841" s="3"/>
      <c r="H841" s="3"/>
      <c r="I841" s="3"/>
      <c r="J841" s="3"/>
      <c r="K841" s="3"/>
    </row>
    <row r="842" spans="1:11" hidden="1" x14ac:dyDescent="0.2">
      <c r="A842" s="3"/>
      <c r="B842" s="3"/>
      <c r="C842" s="3"/>
      <c r="D842" s="3"/>
      <c r="E842" s="3"/>
      <c r="F842" s="3"/>
      <c r="G842" s="3"/>
      <c r="H842" s="3"/>
      <c r="I842" s="3"/>
      <c r="J842" s="3"/>
      <c r="K842" s="3"/>
    </row>
    <row r="843" spans="1:11" hidden="1" x14ac:dyDescent="0.2">
      <c r="A843" s="3"/>
      <c r="B843" s="3"/>
      <c r="C843" s="3"/>
      <c r="D843" s="3"/>
      <c r="E843" s="3"/>
      <c r="F843" s="3"/>
      <c r="G843" s="3"/>
      <c r="H843" s="3"/>
      <c r="I843" s="3"/>
      <c r="J843" s="3"/>
      <c r="K843" s="3"/>
    </row>
    <row r="844" spans="1:11" hidden="1" x14ac:dyDescent="0.2">
      <c r="A844" s="3"/>
      <c r="B844" s="3"/>
      <c r="C844" s="3"/>
      <c r="D844" s="3"/>
      <c r="E844" s="3"/>
      <c r="F844" s="3"/>
      <c r="G844" s="3"/>
      <c r="H844" s="3"/>
      <c r="I844" s="3"/>
      <c r="J844" s="3"/>
      <c r="K844" s="3"/>
    </row>
    <row r="845" spans="1:11" hidden="1" x14ac:dyDescent="0.2">
      <c r="A845" s="3"/>
      <c r="B845" s="3"/>
      <c r="C845" s="3"/>
      <c r="D845" s="3"/>
      <c r="E845" s="3"/>
      <c r="F845" s="3"/>
      <c r="G845" s="3"/>
      <c r="H845" s="3"/>
      <c r="I845" s="3"/>
      <c r="J845" s="3"/>
      <c r="K845" s="3"/>
    </row>
    <row r="846" spans="1:11" hidden="1" x14ac:dyDescent="0.2">
      <c r="A846" s="3"/>
      <c r="B846" s="3"/>
      <c r="C846" s="3"/>
      <c r="D846" s="3"/>
      <c r="E846" s="3"/>
      <c r="F846" s="3"/>
      <c r="G846" s="3"/>
      <c r="H846" s="3"/>
      <c r="I846" s="3"/>
      <c r="J846" s="3"/>
      <c r="K846" s="3"/>
    </row>
    <row r="847" spans="1:11" hidden="1" x14ac:dyDescent="0.2">
      <c r="A847" s="3"/>
      <c r="B847" s="3"/>
      <c r="C847" s="3"/>
      <c r="D847" s="3"/>
      <c r="E847" s="3"/>
      <c r="F847" s="3"/>
      <c r="G847" s="3"/>
      <c r="H847" s="3"/>
      <c r="I847" s="3"/>
      <c r="J847" s="3"/>
      <c r="K847" s="3"/>
    </row>
    <row r="848" spans="1:11" hidden="1" x14ac:dyDescent="0.2">
      <c r="A848" s="3"/>
      <c r="B848" s="3"/>
      <c r="C848" s="3"/>
      <c r="D848" s="3"/>
      <c r="E848" s="3"/>
      <c r="F848" s="3"/>
      <c r="G848" s="3"/>
      <c r="H848" s="3"/>
      <c r="I848" s="3"/>
      <c r="J848" s="3"/>
      <c r="K848" s="3"/>
    </row>
    <row r="849" spans="1:11" hidden="1" x14ac:dyDescent="0.2">
      <c r="A849" s="3"/>
      <c r="B849" s="3"/>
      <c r="C849" s="3"/>
      <c r="D849" s="3"/>
      <c r="E849" s="3"/>
      <c r="F849" s="3"/>
      <c r="G849" s="3"/>
      <c r="H849" s="3"/>
      <c r="I849" s="3"/>
      <c r="J849" s="3"/>
      <c r="K849" s="3"/>
    </row>
    <row r="850" spans="1:11" hidden="1" x14ac:dyDescent="0.2">
      <c r="A850" s="3"/>
      <c r="B850" s="3"/>
      <c r="C850" s="3"/>
      <c r="D850" s="3"/>
      <c r="E850" s="3"/>
      <c r="F850" s="3"/>
      <c r="G850" s="3"/>
      <c r="H850" s="3"/>
      <c r="I850" s="3"/>
      <c r="J850" s="3"/>
      <c r="K850" s="3"/>
    </row>
    <row r="851" spans="1:11" hidden="1" x14ac:dyDescent="0.2">
      <c r="A851" s="3"/>
      <c r="B851" s="3"/>
      <c r="C851" s="3"/>
      <c r="D851" s="3"/>
      <c r="E851" s="3"/>
      <c r="F851" s="3"/>
      <c r="G851" s="3"/>
      <c r="H851" s="3"/>
      <c r="I851" s="3"/>
      <c r="J851" s="3"/>
      <c r="K851" s="3"/>
    </row>
    <row r="852" spans="1:11" hidden="1" x14ac:dyDescent="0.2">
      <c r="A852" s="3"/>
      <c r="B852" s="3"/>
      <c r="C852" s="3"/>
      <c r="D852" s="3"/>
      <c r="E852" s="3"/>
      <c r="F852" s="3"/>
      <c r="G852" s="3"/>
      <c r="H852" s="3"/>
      <c r="I852" s="3"/>
      <c r="J852" s="3"/>
      <c r="K852" s="3"/>
    </row>
    <row r="853" spans="1:11" hidden="1" x14ac:dyDescent="0.2">
      <c r="A853" s="3"/>
      <c r="B853" s="3"/>
      <c r="C853" s="3"/>
      <c r="D853" s="3"/>
      <c r="E853" s="3"/>
      <c r="F853" s="3"/>
      <c r="G853" s="3"/>
      <c r="H853" s="3"/>
      <c r="I853" s="3"/>
      <c r="J853" s="3"/>
      <c r="K853" s="3"/>
    </row>
    <row r="854" spans="1:11" hidden="1" x14ac:dyDescent="0.2">
      <c r="A854" s="3"/>
      <c r="B854" s="3"/>
      <c r="C854" s="3"/>
      <c r="D854" s="3"/>
      <c r="E854" s="3"/>
      <c r="F854" s="3"/>
      <c r="G854" s="3"/>
      <c r="H854" s="3"/>
      <c r="I854" s="3"/>
      <c r="J854" s="3"/>
      <c r="K854" s="3"/>
    </row>
    <row r="855" spans="1:11" hidden="1" x14ac:dyDescent="0.2">
      <c r="A855" s="3"/>
      <c r="B855" s="3"/>
      <c r="C855" s="3"/>
      <c r="D855" s="3"/>
      <c r="E855" s="3"/>
      <c r="F855" s="3"/>
      <c r="G855" s="3"/>
      <c r="H855" s="3"/>
      <c r="I855" s="3"/>
      <c r="J855" s="3"/>
      <c r="K855" s="3"/>
    </row>
    <row r="856" spans="1:11" hidden="1" x14ac:dyDescent="0.2">
      <c r="A856" s="3"/>
      <c r="B856" s="3"/>
      <c r="C856" s="3"/>
      <c r="D856" s="3"/>
      <c r="E856" s="3"/>
      <c r="F856" s="3"/>
      <c r="G856" s="3"/>
      <c r="H856" s="3"/>
      <c r="I856" s="3"/>
      <c r="J856" s="3"/>
      <c r="K856" s="3"/>
    </row>
    <row r="857" spans="1:11" hidden="1" x14ac:dyDescent="0.2">
      <c r="A857" s="3"/>
      <c r="B857" s="3"/>
      <c r="C857" s="3"/>
      <c r="D857" s="3"/>
      <c r="E857" s="3"/>
      <c r="F857" s="3"/>
      <c r="G857" s="3"/>
      <c r="H857" s="3"/>
      <c r="I857" s="3"/>
      <c r="J857" s="3"/>
      <c r="K857" s="3"/>
    </row>
    <row r="858" spans="1:11" hidden="1" x14ac:dyDescent="0.2">
      <c r="A858" s="3"/>
      <c r="B858" s="3"/>
      <c r="C858" s="3"/>
      <c r="D858" s="3"/>
      <c r="E858" s="3"/>
      <c r="F858" s="3"/>
      <c r="G858" s="3"/>
      <c r="H858" s="3"/>
      <c r="I858" s="3"/>
      <c r="J858" s="3"/>
      <c r="K858" s="3"/>
    </row>
    <row r="859" spans="1:11" hidden="1" x14ac:dyDescent="0.2">
      <c r="A859" s="3"/>
      <c r="B859" s="3"/>
      <c r="C859" s="3"/>
      <c r="D859" s="3"/>
      <c r="E859" s="3"/>
      <c r="F859" s="3"/>
      <c r="G859" s="3"/>
      <c r="H859" s="3"/>
      <c r="I859" s="3"/>
      <c r="J859" s="3"/>
      <c r="K859" s="3"/>
    </row>
    <row r="860" spans="1:11" hidden="1" x14ac:dyDescent="0.2">
      <c r="A860" s="3"/>
      <c r="B860" s="3"/>
      <c r="C860" s="3"/>
      <c r="D860" s="3"/>
      <c r="E860" s="3"/>
      <c r="F860" s="3"/>
      <c r="G860" s="3"/>
      <c r="H860" s="3"/>
      <c r="I860" s="3"/>
      <c r="J860" s="3"/>
      <c r="K860" s="3"/>
    </row>
    <row r="861" spans="1:11" hidden="1" x14ac:dyDescent="0.2">
      <c r="A861" s="3"/>
      <c r="B861" s="3"/>
      <c r="C861" s="3"/>
      <c r="D861" s="3"/>
      <c r="E861" s="3"/>
      <c r="F861" s="3"/>
      <c r="G861" s="3"/>
      <c r="H861" s="3"/>
      <c r="I861" s="3"/>
      <c r="J861" s="3"/>
      <c r="K861" s="3"/>
    </row>
    <row r="862" spans="1:11" hidden="1" x14ac:dyDescent="0.2">
      <c r="A862" s="3"/>
      <c r="B862" s="3"/>
      <c r="C862" s="3"/>
      <c r="D862" s="3"/>
      <c r="E862" s="3"/>
      <c r="F862" s="3"/>
      <c r="G862" s="3"/>
      <c r="H862" s="3"/>
      <c r="I862" s="3"/>
      <c r="J862" s="3"/>
      <c r="K862" s="3"/>
    </row>
    <row r="863" spans="1:11" hidden="1" x14ac:dyDescent="0.2">
      <c r="A863" s="3"/>
      <c r="B863" s="3"/>
      <c r="C863" s="3"/>
      <c r="D863" s="3"/>
      <c r="E863" s="3"/>
      <c r="F863" s="3"/>
      <c r="G863" s="3"/>
      <c r="H863" s="3"/>
      <c r="I863" s="3"/>
      <c r="J863" s="3"/>
      <c r="K863" s="3"/>
    </row>
    <row r="864" spans="1:11" hidden="1" x14ac:dyDescent="0.2">
      <c r="A864" s="3"/>
      <c r="B864" s="3"/>
      <c r="C864" s="3"/>
      <c r="D864" s="3"/>
      <c r="E864" s="3"/>
      <c r="F864" s="3"/>
      <c r="G864" s="3"/>
      <c r="H864" s="3"/>
      <c r="I864" s="3"/>
      <c r="J864" s="3"/>
      <c r="K864" s="3"/>
    </row>
    <row r="865" spans="1:11" hidden="1" x14ac:dyDescent="0.2">
      <c r="A865" s="3"/>
      <c r="B865" s="3"/>
      <c r="C865" s="3"/>
      <c r="D865" s="3"/>
      <c r="E865" s="3"/>
      <c r="F865" s="3"/>
      <c r="G865" s="3"/>
      <c r="H865" s="3"/>
      <c r="I865" s="3"/>
      <c r="J865" s="3"/>
      <c r="K865" s="3"/>
    </row>
    <row r="866" spans="1:11" hidden="1" x14ac:dyDescent="0.2">
      <c r="A866" s="3"/>
      <c r="B866" s="3"/>
      <c r="C866" s="3"/>
      <c r="D866" s="3"/>
      <c r="E866" s="3"/>
      <c r="F866" s="3"/>
      <c r="G866" s="3"/>
      <c r="H866" s="3"/>
      <c r="I866" s="3"/>
      <c r="J866" s="3"/>
      <c r="K866" s="3"/>
    </row>
    <row r="867" spans="1:11" hidden="1" x14ac:dyDescent="0.2">
      <c r="A867" s="3"/>
      <c r="B867" s="3"/>
      <c r="C867" s="3"/>
      <c r="D867" s="3"/>
      <c r="E867" s="3"/>
      <c r="F867" s="3"/>
      <c r="G867" s="3"/>
      <c r="H867" s="3"/>
      <c r="I867" s="3"/>
      <c r="J867" s="3"/>
      <c r="K867" s="3"/>
    </row>
    <row r="868" spans="1:11" hidden="1" x14ac:dyDescent="0.2">
      <c r="A868" s="3"/>
      <c r="B868" s="3"/>
      <c r="C868" s="3"/>
      <c r="D868" s="3"/>
      <c r="E868" s="3"/>
      <c r="F868" s="3"/>
      <c r="G868" s="3"/>
      <c r="H868" s="3"/>
      <c r="I868" s="3"/>
      <c r="J868" s="3"/>
      <c r="K868" s="3"/>
    </row>
    <row r="869" spans="1:11" hidden="1" x14ac:dyDescent="0.2">
      <c r="A869" s="3"/>
      <c r="B869" s="3"/>
      <c r="C869" s="3"/>
      <c r="D869" s="3"/>
      <c r="E869" s="3"/>
      <c r="F869" s="3"/>
      <c r="G869" s="3"/>
      <c r="H869" s="3"/>
      <c r="I869" s="3"/>
      <c r="J869" s="3"/>
      <c r="K869" s="3"/>
    </row>
    <row r="870" spans="1:11" hidden="1" x14ac:dyDescent="0.2">
      <c r="A870" s="3"/>
      <c r="B870" s="3"/>
      <c r="C870" s="3"/>
      <c r="D870" s="3"/>
      <c r="E870" s="3"/>
      <c r="F870" s="3"/>
      <c r="G870" s="3"/>
      <c r="H870" s="3"/>
      <c r="I870" s="3"/>
      <c r="J870" s="3"/>
      <c r="K870" s="3"/>
    </row>
    <row r="871" spans="1:11" hidden="1" x14ac:dyDescent="0.2">
      <c r="A871" s="3"/>
      <c r="B871" s="3"/>
      <c r="C871" s="3"/>
      <c r="D871" s="3"/>
      <c r="E871" s="3"/>
      <c r="F871" s="3"/>
      <c r="G871" s="3"/>
      <c r="H871" s="3"/>
      <c r="I871" s="3"/>
      <c r="J871" s="3"/>
      <c r="K871" s="3"/>
    </row>
    <row r="872" spans="1:11" hidden="1" x14ac:dyDescent="0.2">
      <c r="A872" s="3"/>
      <c r="B872" s="3"/>
      <c r="C872" s="3"/>
      <c r="D872" s="3"/>
      <c r="E872" s="3"/>
      <c r="F872" s="3"/>
      <c r="G872" s="3"/>
      <c r="H872" s="3"/>
      <c r="I872" s="3"/>
      <c r="J872" s="3"/>
      <c r="K872" s="3"/>
    </row>
    <row r="873" spans="1:11" hidden="1" x14ac:dyDescent="0.2">
      <c r="A873" s="3"/>
      <c r="B873" s="3"/>
      <c r="C873" s="3"/>
      <c r="D873" s="3"/>
      <c r="E873" s="3"/>
      <c r="F873" s="3"/>
      <c r="G873" s="3"/>
      <c r="H873" s="3"/>
      <c r="I873" s="3"/>
      <c r="J873" s="3"/>
      <c r="K873" s="3"/>
    </row>
    <row r="874" spans="1:11" hidden="1" x14ac:dyDescent="0.2">
      <c r="A874" s="3"/>
      <c r="B874" s="3"/>
      <c r="C874" s="3"/>
      <c r="D874" s="3"/>
      <c r="E874" s="3"/>
      <c r="F874" s="3"/>
      <c r="G874" s="3"/>
      <c r="H874" s="3"/>
      <c r="I874" s="3"/>
      <c r="J874" s="3"/>
      <c r="K874" s="3"/>
    </row>
    <row r="875" spans="1:11" hidden="1" x14ac:dyDescent="0.2">
      <c r="A875" s="3"/>
      <c r="B875" s="3"/>
      <c r="C875" s="3"/>
      <c r="D875" s="3"/>
      <c r="E875" s="3"/>
      <c r="F875" s="3"/>
      <c r="G875" s="3"/>
      <c r="H875" s="3"/>
      <c r="I875" s="3"/>
      <c r="J875" s="3"/>
      <c r="K875" s="3"/>
    </row>
    <row r="876" spans="1:11" hidden="1" x14ac:dyDescent="0.2">
      <c r="A876" s="3"/>
      <c r="B876" s="3"/>
      <c r="C876" s="3"/>
      <c r="D876" s="3"/>
      <c r="E876" s="3"/>
      <c r="F876" s="3"/>
      <c r="G876" s="3"/>
      <c r="H876" s="3"/>
      <c r="I876" s="3"/>
      <c r="J876" s="3"/>
      <c r="K876" s="3"/>
    </row>
    <row r="877" spans="1:11" hidden="1" x14ac:dyDescent="0.2">
      <c r="A877" s="3"/>
      <c r="B877" s="3"/>
      <c r="C877" s="3"/>
      <c r="D877" s="3"/>
      <c r="E877" s="3"/>
      <c r="F877" s="3"/>
      <c r="G877" s="3"/>
      <c r="H877" s="3"/>
      <c r="I877" s="3"/>
      <c r="J877" s="3"/>
      <c r="K877" s="3"/>
    </row>
    <row r="878" spans="1:11" hidden="1" x14ac:dyDescent="0.2">
      <c r="A878" s="3"/>
      <c r="B878" s="3"/>
      <c r="C878" s="3"/>
      <c r="D878" s="3"/>
      <c r="E878" s="3"/>
      <c r="F878" s="3"/>
      <c r="G878" s="3"/>
      <c r="H878" s="3"/>
      <c r="I878" s="3"/>
      <c r="J878" s="3"/>
      <c r="K878" s="3"/>
    </row>
    <row r="879" spans="1:11" hidden="1" x14ac:dyDescent="0.2">
      <c r="A879" s="3"/>
      <c r="B879" s="3"/>
      <c r="C879" s="3"/>
      <c r="D879" s="3"/>
      <c r="E879" s="3"/>
      <c r="F879" s="3"/>
      <c r="G879" s="3"/>
      <c r="H879" s="3"/>
      <c r="I879" s="3"/>
      <c r="J879" s="3"/>
      <c r="K879" s="3"/>
    </row>
    <row r="880" spans="1:11" hidden="1" x14ac:dyDescent="0.2">
      <c r="A880" s="3"/>
      <c r="B880" s="3"/>
      <c r="C880" s="3"/>
      <c r="D880" s="3"/>
      <c r="E880" s="3"/>
      <c r="F880" s="3"/>
      <c r="G880" s="3"/>
      <c r="H880" s="3"/>
      <c r="I880" s="3"/>
      <c r="J880" s="3"/>
      <c r="K880" s="3"/>
    </row>
    <row r="881" spans="1:11" hidden="1" x14ac:dyDescent="0.2">
      <c r="A881" s="3"/>
      <c r="B881" s="3"/>
      <c r="C881" s="3"/>
      <c r="D881" s="3"/>
      <c r="E881" s="3"/>
      <c r="F881" s="3"/>
      <c r="G881" s="3"/>
      <c r="H881" s="3"/>
      <c r="I881" s="3"/>
      <c r="J881" s="3"/>
      <c r="K881" s="3"/>
    </row>
    <row r="882" spans="1:11" hidden="1" x14ac:dyDescent="0.2">
      <c r="A882" s="3"/>
      <c r="B882" s="3"/>
      <c r="C882" s="3"/>
      <c r="D882" s="3"/>
      <c r="E882" s="3"/>
      <c r="F882" s="3"/>
      <c r="G882" s="3"/>
      <c r="H882" s="3"/>
      <c r="I882" s="3"/>
      <c r="J882" s="3"/>
      <c r="K882" s="3"/>
    </row>
    <row r="883" spans="1:11" hidden="1" x14ac:dyDescent="0.2">
      <c r="A883" s="3"/>
      <c r="B883" s="3"/>
      <c r="C883" s="3"/>
      <c r="D883" s="3"/>
      <c r="E883" s="3"/>
      <c r="F883" s="3"/>
      <c r="G883" s="3"/>
      <c r="H883" s="3"/>
      <c r="I883" s="3"/>
      <c r="J883" s="3"/>
      <c r="K883" s="3"/>
    </row>
    <row r="884" spans="1:11" hidden="1" x14ac:dyDescent="0.2">
      <c r="A884" s="3"/>
      <c r="B884" s="3"/>
      <c r="C884" s="3"/>
      <c r="D884" s="3"/>
      <c r="E884" s="3"/>
      <c r="F884" s="3"/>
      <c r="G884" s="3"/>
      <c r="H884" s="3"/>
      <c r="I884" s="3"/>
      <c r="J884" s="3"/>
      <c r="K884" s="3"/>
    </row>
    <row r="885" spans="1:11" hidden="1" x14ac:dyDescent="0.2">
      <c r="A885" s="3"/>
      <c r="B885" s="3"/>
      <c r="C885" s="3"/>
      <c r="D885" s="3"/>
      <c r="E885" s="3"/>
      <c r="F885" s="3"/>
      <c r="G885" s="3"/>
      <c r="H885" s="3"/>
      <c r="I885" s="3"/>
      <c r="J885" s="3"/>
      <c r="K885" s="3"/>
    </row>
    <row r="886" spans="1:11" hidden="1" x14ac:dyDescent="0.2">
      <c r="A886" s="3"/>
      <c r="B886" s="3"/>
      <c r="C886" s="3"/>
      <c r="D886" s="3"/>
      <c r="E886" s="3"/>
      <c r="F886" s="3"/>
      <c r="G886" s="3"/>
      <c r="H886" s="3"/>
      <c r="I886" s="3"/>
      <c r="J886" s="3"/>
      <c r="K886" s="3"/>
    </row>
    <row r="887" spans="1:11" hidden="1" x14ac:dyDescent="0.2">
      <c r="A887" s="3"/>
      <c r="B887" s="3"/>
      <c r="C887" s="3"/>
      <c r="D887" s="3"/>
      <c r="E887" s="3"/>
      <c r="F887" s="3"/>
      <c r="G887" s="3"/>
      <c r="H887" s="3"/>
      <c r="I887" s="3"/>
      <c r="J887" s="3"/>
      <c r="K887" s="3"/>
    </row>
    <row r="888" spans="1:11" hidden="1" x14ac:dyDescent="0.2">
      <c r="A888" s="3"/>
      <c r="B888" s="3"/>
      <c r="C888" s="3"/>
      <c r="D888" s="3"/>
      <c r="E888" s="3"/>
      <c r="F888" s="3"/>
      <c r="G888" s="3"/>
      <c r="H888" s="3"/>
      <c r="I888" s="3"/>
      <c r="J888" s="3"/>
      <c r="K888" s="3"/>
    </row>
    <row r="889" spans="1:11" hidden="1" x14ac:dyDescent="0.2">
      <c r="A889" s="3"/>
      <c r="B889" s="3"/>
      <c r="C889" s="3"/>
      <c r="D889" s="3"/>
      <c r="E889" s="3"/>
      <c r="F889" s="3"/>
      <c r="G889" s="3"/>
      <c r="H889" s="3"/>
      <c r="I889" s="3"/>
      <c r="J889" s="3"/>
      <c r="K889" s="3"/>
    </row>
    <row r="890" spans="1:11" hidden="1" x14ac:dyDescent="0.2">
      <c r="A890" s="3"/>
      <c r="B890" s="3"/>
      <c r="C890" s="3"/>
      <c r="D890" s="3"/>
      <c r="E890" s="3"/>
      <c r="F890" s="3"/>
      <c r="G890" s="3"/>
      <c r="H890" s="3"/>
      <c r="I890" s="3"/>
      <c r="J890" s="3"/>
      <c r="K890" s="3"/>
    </row>
    <row r="891" spans="1:11" hidden="1" x14ac:dyDescent="0.2">
      <c r="A891" s="3"/>
      <c r="B891" s="3"/>
      <c r="C891" s="3"/>
      <c r="D891" s="3"/>
      <c r="E891" s="3"/>
      <c r="F891" s="3"/>
      <c r="G891" s="3"/>
      <c r="H891" s="3"/>
      <c r="I891" s="3"/>
      <c r="J891" s="3"/>
      <c r="K891" s="3"/>
    </row>
    <row r="892" spans="1:11" hidden="1" x14ac:dyDescent="0.2">
      <c r="A892" s="3"/>
      <c r="B892" s="3"/>
      <c r="C892" s="3"/>
      <c r="D892" s="3"/>
      <c r="E892" s="3"/>
      <c r="F892" s="3"/>
      <c r="G892" s="3"/>
      <c r="H892" s="3"/>
      <c r="I892" s="3"/>
      <c r="J892" s="3"/>
      <c r="K892" s="3"/>
    </row>
    <row r="893" spans="1:11" hidden="1" x14ac:dyDescent="0.2">
      <c r="A893" s="3"/>
      <c r="B893" s="3"/>
      <c r="C893" s="3"/>
      <c r="D893" s="3"/>
      <c r="E893" s="3"/>
      <c r="F893" s="3"/>
      <c r="G893" s="3"/>
      <c r="H893" s="3"/>
      <c r="I893" s="3"/>
      <c r="J893" s="3"/>
      <c r="K893" s="3"/>
    </row>
    <row r="894" spans="1:11" hidden="1" x14ac:dyDescent="0.2">
      <c r="A894" s="3"/>
      <c r="B894" s="3"/>
      <c r="C894" s="3"/>
      <c r="D894" s="3"/>
      <c r="E894" s="3"/>
      <c r="F894" s="3"/>
      <c r="G894" s="3"/>
      <c r="H894" s="3"/>
      <c r="I894" s="3"/>
      <c r="J894" s="3"/>
      <c r="K894" s="3"/>
    </row>
    <row r="895" spans="1:11" hidden="1" x14ac:dyDescent="0.2">
      <c r="A895" s="3"/>
      <c r="B895" s="3"/>
      <c r="C895" s="3"/>
      <c r="D895" s="3"/>
      <c r="E895" s="3"/>
      <c r="F895" s="3"/>
      <c r="G895" s="3"/>
      <c r="H895" s="3"/>
      <c r="I895" s="3"/>
      <c r="J895" s="3"/>
      <c r="K895" s="3"/>
    </row>
    <row r="896" spans="1:11" hidden="1" x14ac:dyDescent="0.2">
      <c r="A896" s="3"/>
      <c r="B896" s="3"/>
      <c r="C896" s="3"/>
      <c r="D896" s="3"/>
      <c r="E896" s="3"/>
      <c r="F896" s="3"/>
      <c r="G896" s="3"/>
      <c r="H896" s="3"/>
      <c r="I896" s="3"/>
      <c r="J896" s="3"/>
      <c r="K896" s="3"/>
    </row>
    <row r="897" spans="1:11" hidden="1" x14ac:dyDescent="0.2">
      <c r="A897" s="3"/>
      <c r="B897" s="3"/>
      <c r="C897" s="3"/>
      <c r="D897" s="3"/>
      <c r="E897" s="3"/>
      <c r="F897" s="3"/>
      <c r="G897" s="3"/>
      <c r="H897" s="3"/>
      <c r="I897" s="3"/>
      <c r="J897" s="3"/>
      <c r="K897" s="3"/>
    </row>
    <row r="898" spans="1:11" hidden="1" x14ac:dyDescent="0.2">
      <c r="A898" s="3"/>
      <c r="B898" s="3"/>
      <c r="C898" s="3"/>
      <c r="D898" s="3"/>
      <c r="E898" s="3"/>
      <c r="F898" s="3"/>
      <c r="G898" s="3"/>
      <c r="H898" s="3"/>
      <c r="I898" s="3"/>
      <c r="J898" s="3"/>
      <c r="K898" s="3"/>
    </row>
    <row r="899" spans="1:11" hidden="1" x14ac:dyDescent="0.2">
      <c r="A899" s="3"/>
      <c r="B899" s="3"/>
      <c r="C899" s="3"/>
      <c r="D899" s="3"/>
      <c r="E899" s="3"/>
      <c r="F899" s="3"/>
      <c r="G899" s="3"/>
      <c r="H899" s="3"/>
      <c r="I899" s="3"/>
      <c r="J899" s="3"/>
      <c r="K899" s="3"/>
    </row>
    <row r="900" spans="1:11" hidden="1" x14ac:dyDescent="0.2">
      <c r="A900" s="3"/>
      <c r="B900" s="3"/>
      <c r="C900" s="3"/>
      <c r="D900" s="3"/>
      <c r="E900" s="3"/>
      <c r="F900" s="3"/>
      <c r="G900" s="3"/>
      <c r="H900" s="3"/>
      <c r="I900" s="3"/>
      <c r="J900" s="3"/>
      <c r="K900" s="3"/>
    </row>
    <row r="901" spans="1:11" hidden="1" x14ac:dyDescent="0.2">
      <c r="A901" s="3"/>
      <c r="B901" s="3"/>
      <c r="C901" s="3"/>
      <c r="D901" s="3"/>
      <c r="E901" s="3"/>
      <c r="F901" s="3"/>
      <c r="G901" s="3"/>
      <c r="H901" s="3"/>
      <c r="I901" s="3"/>
      <c r="J901" s="3"/>
      <c r="K901" s="3"/>
    </row>
    <row r="902" spans="1:11" hidden="1" x14ac:dyDescent="0.2">
      <c r="A902" s="3"/>
      <c r="B902" s="3"/>
      <c r="C902" s="3"/>
      <c r="D902" s="3"/>
      <c r="E902" s="3"/>
      <c r="F902" s="3"/>
      <c r="G902" s="3"/>
      <c r="H902" s="3"/>
      <c r="I902" s="3"/>
      <c r="J902" s="3"/>
      <c r="K902" s="3"/>
    </row>
    <row r="903" spans="1:11" hidden="1" x14ac:dyDescent="0.2">
      <c r="A903" s="3"/>
      <c r="B903" s="3"/>
      <c r="C903" s="3"/>
      <c r="D903" s="3"/>
      <c r="E903" s="3"/>
      <c r="F903" s="3"/>
      <c r="G903" s="3"/>
      <c r="H903" s="3"/>
      <c r="I903" s="3"/>
      <c r="J903" s="3"/>
      <c r="K903" s="3"/>
    </row>
    <row r="904" spans="1:11" hidden="1" x14ac:dyDescent="0.2">
      <c r="A904" s="3"/>
      <c r="B904" s="3"/>
      <c r="C904" s="3"/>
      <c r="D904" s="3"/>
      <c r="E904" s="3"/>
      <c r="F904" s="3"/>
      <c r="G904" s="3"/>
      <c r="H904" s="3"/>
      <c r="I904" s="3"/>
      <c r="J904" s="3"/>
      <c r="K904" s="3"/>
    </row>
    <row r="905" spans="1:11" hidden="1" x14ac:dyDescent="0.2">
      <c r="A905" s="3"/>
      <c r="B905" s="3"/>
      <c r="C905" s="3"/>
      <c r="D905" s="3"/>
      <c r="E905" s="3"/>
      <c r="F905" s="3"/>
      <c r="G905" s="3"/>
      <c r="H905" s="3"/>
      <c r="I905" s="3"/>
      <c r="J905" s="3"/>
      <c r="K905" s="3"/>
    </row>
    <row r="906" spans="1:11" hidden="1" x14ac:dyDescent="0.2">
      <c r="A906" s="3"/>
      <c r="B906" s="3"/>
      <c r="C906" s="3"/>
      <c r="D906" s="3"/>
      <c r="E906" s="3"/>
      <c r="F906" s="3"/>
      <c r="G906" s="3"/>
      <c r="H906" s="3"/>
      <c r="I906" s="3"/>
      <c r="J906" s="3"/>
      <c r="K906" s="3"/>
    </row>
    <row r="907" spans="1:11" hidden="1" x14ac:dyDescent="0.2">
      <c r="A907" s="3"/>
      <c r="B907" s="3"/>
      <c r="C907" s="3"/>
      <c r="D907" s="3"/>
      <c r="E907" s="3"/>
      <c r="F907" s="3"/>
      <c r="G907" s="3"/>
      <c r="H907" s="3"/>
      <c r="I907" s="3"/>
      <c r="J907" s="3"/>
      <c r="K907" s="3"/>
    </row>
    <row r="908" spans="1:11" hidden="1" x14ac:dyDescent="0.2">
      <c r="A908" s="3"/>
      <c r="B908" s="3"/>
      <c r="C908" s="3"/>
      <c r="D908" s="3"/>
      <c r="E908" s="3"/>
      <c r="F908" s="3"/>
      <c r="G908" s="3"/>
      <c r="H908" s="3"/>
      <c r="I908" s="3"/>
      <c r="J908" s="3"/>
      <c r="K908" s="3"/>
    </row>
    <row r="909" spans="1:11" hidden="1" x14ac:dyDescent="0.2">
      <c r="A909" s="3"/>
      <c r="B909" s="3"/>
      <c r="C909" s="3"/>
      <c r="D909" s="3"/>
      <c r="E909" s="3"/>
      <c r="F909" s="3"/>
      <c r="G909" s="3"/>
      <c r="H909" s="3"/>
      <c r="I909" s="3"/>
      <c r="J909" s="3"/>
      <c r="K909" s="3"/>
    </row>
    <row r="910" spans="1:11" hidden="1" x14ac:dyDescent="0.2">
      <c r="A910" s="3"/>
      <c r="B910" s="3"/>
      <c r="C910" s="3"/>
      <c r="D910" s="3"/>
      <c r="E910" s="3"/>
      <c r="F910" s="3"/>
      <c r="G910" s="3"/>
      <c r="H910" s="3"/>
      <c r="I910" s="3"/>
      <c r="J910" s="3"/>
      <c r="K910" s="3"/>
    </row>
    <row r="911" spans="1:11" hidden="1" x14ac:dyDescent="0.2">
      <c r="A911" s="3"/>
      <c r="B911" s="3"/>
      <c r="C911" s="3"/>
      <c r="D911" s="3"/>
      <c r="E911" s="3"/>
      <c r="F911" s="3"/>
      <c r="G911" s="3"/>
      <c r="H911" s="3"/>
      <c r="I911" s="3"/>
      <c r="J911" s="3"/>
      <c r="K911" s="3"/>
    </row>
    <row r="912" spans="1:11" hidden="1" x14ac:dyDescent="0.2">
      <c r="A912" s="3"/>
      <c r="B912" s="3"/>
      <c r="C912" s="3"/>
      <c r="D912" s="3"/>
      <c r="E912" s="3"/>
      <c r="F912" s="3"/>
      <c r="G912" s="3"/>
      <c r="H912" s="3"/>
      <c r="I912" s="3"/>
      <c r="J912" s="3"/>
      <c r="K912" s="3"/>
    </row>
    <row r="913" spans="1:11" hidden="1" x14ac:dyDescent="0.2">
      <c r="A913" s="3"/>
      <c r="B913" s="3"/>
      <c r="C913" s="3"/>
      <c r="D913" s="3"/>
      <c r="E913" s="3"/>
      <c r="F913" s="3"/>
      <c r="G913" s="3"/>
      <c r="H913" s="3"/>
      <c r="I913" s="3"/>
      <c r="J913" s="3"/>
      <c r="K913" s="3"/>
    </row>
    <row r="914" spans="1:11" hidden="1" x14ac:dyDescent="0.2">
      <c r="A914" s="3"/>
      <c r="B914" s="3"/>
      <c r="C914" s="3"/>
      <c r="D914" s="3"/>
      <c r="E914" s="3"/>
      <c r="F914" s="3"/>
      <c r="G914" s="3"/>
      <c r="H914" s="3"/>
      <c r="I914" s="3"/>
      <c r="J914" s="3"/>
      <c r="K914" s="3"/>
    </row>
    <row r="915" spans="1:11" hidden="1" x14ac:dyDescent="0.2">
      <c r="A915" s="3"/>
      <c r="B915" s="3"/>
      <c r="C915" s="3"/>
      <c r="D915" s="3"/>
      <c r="E915" s="3"/>
      <c r="F915" s="3"/>
      <c r="G915" s="3"/>
      <c r="H915" s="3"/>
      <c r="I915" s="3"/>
      <c r="J915" s="3"/>
      <c r="K915" s="3"/>
    </row>
    <row r="916" spans="1:11" hidden="1" x14ac:dyDescent="0.2">
      <c r="A916" s="3"/>
      <c r="B916" s="3"/>
      <c r="C916" s="3"/>
      <c r="D916" s="3"/>
      <c r="E916" s="3"/>
      <c r="F916" s="3"/>
      <c r="G916" s="3"/>
      <c r="H916" s="3"/>
      <c r="I916" s="3"/>
      <c r="J916" s="3"/>
      <c r="K916" s="3"/>
    </row>
    <row r="917" spans="1:11" hidden="1" x14ac:dyDescent="0.2">
      <c r="A917" s="3"/>
      <c r="B917" s="3"/>
      <c r="C917" s="3"/>
      <c r="D917" s="3"/>
      <c r="E917" s="3"/>
      <c r="F917" s="3"/>
      <c r="G917" s="3"/>
      <c r="H917" s="3"/>
      <c r="I917" s="3"/>
      <c r="J917" s="3"/>
      <c r="K917" s="3"/>
    </row>
    <row r="918" spans="1:11" hidden="1" x14ac:dyDescent="0.2">
      <c r="A918" s="3"/>
      <c r="B918" s="3"/>
      <c r="C918" s="3"/>
      <c r="D918" s="3"/>
      <c r="E918" s="3"/>
      <c r="F918" s="3"/>
      <c r="G918" s="3"/>
      <c r="H918" s="3"/>
      <c r="I918" s="3"/>
      <c r="J918" s="3"/>
      <c r="K918" s="3"/>
    </row>
    <row r="919" spans="1:11" hidden="1" x14ac:dyDescent="0.2">
      <c r="A919" s="3"/>
      <c r="B919" s="3"/>
      <c r="C919" s="3"/>
      <c r="D919" s="3"/>
      <c r="E919" s="3"/>
      <c r="F919" s="3"/>
      <c r="G919" s="3"/>
      <c r="H919" s="3"/>
      <c r="I919" s="3"/>
      <c r="J919" s="3"/>
      <c r="K919" s="3"/>
    </row>
    <row r="920" spans="1:11" hidden="1" x14ac:dyDescent="0.2">
      <c r="A920" s="3"/>
      <c r="B920" s="3"/>
      <c r="C920" s="3"/>
      <c r="D920" s="3"/>
      <c r="E920" s="3"/>
      <c r="F920" s="3"/>
      <c r="G920" s="3"/>
      <c r="H920" s="3"/>
      <c r="I920" s="3"/>
      <c r="J920" s="3"/>
      <c r="K920" s="3"/>
    </row>
    <row r="921" spans="1:11" hidden="1" x14ac:dyDescent="0.2">
      <c r="A921" s="3"/>
      <c r="B921" s="3"/>
      <c r="C921" s="3"/>
      <c r="D921" s="3"/>
      <c r="E921" s="3"/>
      <c r="F921" s="3"/>
      <c r="G921" s="3"/>
      <c r="H921" s="3"/>
      <c r="I921" s="3"/>
      <c r="J921" s="3"/>
      <c r="K921" s="3"/>
    </row>
    <row r="922" spans="1:11" hidden="1" x14ac:dyDescent="0.2">
      <c r="A922" s="3"/>
      <c r="B922" s="3"/>
      <c r="C922" s="3"/>
      <c r="D922" s="3"/>
      <c r="E922" s="3"/>
      <c r="F922" s="3"/>
      <c r="G922" s="3"/>
      <c r="H922" s="3"/>
      <c r="I922" s="3"/>
      <c r="J922" s="3"/>
      <c r="K922" s="3"/>
    </row>
    <row r="923" spans="1:11" hidden="1" x14ac:dyDescent="0.2">
      <c r="A923" s="3"/>
      <c r="B923" s="3"/>
      <c r="C923" s="3"/>
      <c r="D923" s="3"/>
      <c r="E923" s="3"/>
      <c r="F923" s="3"/>
      <c r="G923" s="3"/>
      <c r="H923" s="3"/>
      <c r="I923" s="3"/>
      <c r="J923" s="3"/>
      <c r="K923" s="3"/>
    </row>
    <row r="924" spans="1:11" hidden="1" x14ac:dyDescent="0.2">
      <c r="A924" s="3"/>
      <c r="B924" s="3"/>
      <c r="C924" s="3"/>
      <c r="D924" s="3"/>
      <c r="E924" s="3"/>
      <c r="F924" s="3"/>
      <c r="G924" s="3"/>
      <c r="H924" s="3"/>
      <c r="I924" s="3"/>
      <c r="J924" s="3"/>
      <c r="K924" s="3"/>
    </row>
    <row r="925" spans="1:11" hidden="1" x14ac:dyDescent="0.2">
      <c r="A925" s="3"/>
      <c r="B925" s="3"/>
      <c r="C925" s="3"/>
      <c r="D925" s="3"/>
      <c r="E925" s="3"/>
      <c r="F925" s="3"/>
      <c r="G925" s="3"/>
      <c r="H925" s="3"/>
      <c r="I925" s="3"/>
      <c r="J925" s="3"/>
      <c r="K925" s="3"/>
    </row>
    <row r="926" spans="1:11" hidden="1" x14ac:dyDescent="0.2">
      <c r="A926" s="3"/>
      <c r="B926" s="3"/>
      <c r="C926" s="3"/>
      <c r="D926" s="3"/>
      <c r="E926" s="3"/>
      <c r="F926" s="3"/>
      <c r="G926" s="3"/>
      <c r="H926" s="3"/>
      <c r="I926" s="3"/>
      <c r="J926" s="3"/>
      <c r="K926" s="3"/>
    </row>
    <row r="927" spans="1:11" hidden="1" x14ac:dyDescent="0.2">
      <c r="A927" s="3"/>
      <c r="B927" s="3"/>
      <c r="C927" s="3"/>
      <c r="D927" s="3"/>
      <c r="E927" s="3"/>
      <c r="F927" s="3"/>
      <c r="G927" s="3"/>
      <c r="H927" s="3"/>
      <c r="I927" s="3"/>
      <c r="J927" s="3"/>
      <c r="K927" s="3"/>
    </row>
    <row r="928" spans="1:11" hidden="1" x14ac:dyDescent="0.2">
      <c r="A928" s="3"/>
      <c r="B928" s="3"/>
      <c r="C928" s="3"/>
      <c r="D928" s="3"/>
      <c r="E928" s="3"/>
      <c r="F928" s="3"/>
      <c r="G928" s="3"/>
      <c r="H928" s="3"/>
      <c r="I928" s="3"/>
      <c r="J928" s="3"/>
      <c r="K928" s="3"/>
    </row>
    <row r="929" spans="1:11" hidden="1" x14ac:dyDescent="0.2">
      <c r="A929" s="3"/>
      <c r="B929" s="3"/>
      <c r="C929" s="3"/>
      <c r="D929" s="3"/>
      <c r="E929" s="3"/>
      <c r="F929" s="3"/>
      <c r="G929" s="3"/>
      <c r="H929" s="3"/>
      <c r="I929" s="3"/>
      <c r="J929" s="3"/>
      <c r="K929" s="3"/>
    </row>
    <row r="930" spans="1:11" hidden="1" x14ac:dyDescent="0.2">
      <c r="A930" s="3"/>
      <c r="B930" s="3"/>
      <c r="C930" s="3"/>
      <c r="D930" s="3"/>
      <c r="E930" s="3"/>
      <c r="F930" s="3"/>
      <c r="G930" s="3"/>
      <c r="H930" s="3"/>
      <c r="I930" s="3"/>
      <c r="J930" s="3"/>
      <c r="K930" s="3"/>
    </row>
    <row r="931" spans="1:11" hidden="1" x14ac:dyDescent="0.2">
      <c r="A931" s="3"/>
      <c r="B931" s="3"/>
      <c r="C931" s="3"/>
      <c r="D931" s="3"/>
      <c r="E931" s="3"/>
      <c r="F931" s="3"/>
      <c r="G931" s="3"/>
      <c r="H931" s="3"/>
      <c r="I931" s="3"/>
      <c r="J931" s="3"/>
      <c r="K931" s="3"/>
    </row>
    <row r="932" spans="1:11" hidden="1" x14ac:dyDescent="0.2">
      <c r="A932" s="3"/>
      <c r="B932" s="3"/>
      <c r="C932" s="3"/>
      <c r="D932" s="3"/>
      <c r="E932" s="3"/>
      <c r="F932" s="3"/>
      <c r="G932" s="3"/>
      <c r="H932" s="3"/>
      <c r="I932" s="3"/>
      <c r="J932" s="3"/>
      <c r="K932" s="3"/>
    </row>
    <row r="933" spans="1:11" hidden="1" x14ac:dyDescent="0.2">
      <c r="A933" s="3"/>
      <c r="B933" s="3"/>
      <c r="C933" s="3"/>
      <c r="D933" s="3"/>
      <c r="E933" s="3"/>
      <c r="F933" s="3"/>
      <c r="G933" s="3"/>
      <c r="H933" s="3"/>
      <c r="I933" s="3"/>
      <c r="J933" s="3"/>
      <c r="K933" s="3"/>
    </row>
    <row r="934" spans="1:11" hidden="1" x14ac:dyDescent="0.2">
      <c r="A934" s="3"/>
      <c r="B934" s="3"/>
      <c r="C934" s="3"/>
      <c r="D934" s="3"/>
      <c r="E934" s="3"/>
      <c r="F934" s="3"/>
      <c r="G934" s="3"/>
      <c r="H934" s="3"/>
      <c r="I934" s="3"/>
      <c r="J934" s="3"/>
      <c r="K934" s="3"/>
    </row>
    <row r="935" spans="1:11" hidden="1" x14ac:dyDescent="0.2">
      <c r="A935" s="3"/>
      <c r="B935" s="3"/>
      <c r="C935" s="3"/>
      <c r="D935" s="3"/>
      <c r="E935" s="3"/>
      <c r="F935" s="3"/>
      <c r="G935" s="3"/>
      <c r="H935" s="3"/>
      <c r="I935" s="3"/>
      <c r="J935" s="3"/>
      <c r="K935" s="3"/>
    </row>
    <row r="936" spans="1:11" hidden="1" x14ac:dyDescent="0.2">
      <c r="A936" s="3"/>
      <c r="B936" s="3"/>
      <c r="C936" s="3"/>
      <c r="D936" s="3"/>
      <c r="E936" s="3"/>
      <c r="F936" s="3"/>
      <c r="G936" s="3"/>
      <c r="H936" s="3"/>
      <c r="I936" s="3"/>
      <c r="J936" s="3"/>
      <c r="K936" s="3"/>
    </row>
    <row r="937" spans="1:11" hidden="1" x14ac:dyDescent="0.2">
      <c r="A937" s="3"/>
      <c r="B937" s="3"/>
      <c r="C937" s="3"/>
      <c r="D937" s="3"/>
      <c r="E937" s="3"/>
      <c r="F937" s="3"/>
      <c r="G937" s="3"/>
      <c r="H937" s="3"/>
      <c r="I937" s="3"/>
      <c r="J937" s="3"/>
      <c r="K937" s="3"/>
    </row>
    <row r="938" spans="1:11" hidden="1" x14ac:dyDescent="0.2">
      <c r="A938" s="3"/>
      <c r="B938" s="3"/>
      <c r="C938" s="3"/>
      <c r="D938" s="3"/>
      <c r="E938" s="3"/>
      <c r="F938" s="3"/>
      <c r="G938" s="3"/>
      <c r="H938" s="3"/>
      <c r="I938" s="3"/>
      <c r="J938" s="3"/>
      <c r="K938" s="3"/>
    </row>
    <row r="939" spans="1:11" hidden="1" x14ac:dyDescent="0.2">
      <c r="A939" s="3"/>
      <c r="B939" s="3"/>
      <c r="C939" s="3"/>
      <c r="D939" s="3"/>
      <c r="E939" s="3"/>
      <c r="F939" s="3"/>
      <c r="G939" s="3"/>
      <c r="H939" s="3"/>
      <c r="I939" s="3"/>
      <c r="J939" s="3"/>
      <c r="K939" s="3"/>
    </row>
    <row r="940" spans="1:11" hidden="1" x14ac:dyDescent="0.2">
      <c r="A940" s="3"/>
      <c r="B940" s="3"/>
      <c r="C940" s="3"/>
      <c r="D940" s="3"/>
      <c r="E940" s="3"/>
      <c r="F940" s="3"/>
      <c r="G940" s="3"/>
      <c r="H940" s="3"/>
      <c r="I940" s="3"/>
      <c r="J940" s="3"/>
      <c r="K940" s="3"/>
    </row>
    <row r="941" spans="1:11" hidden="1" x14ac:dyDescent="0.2">
      <c r="A941" s="3"/>
      <c r="B941" s="3"/>
      <c r="C941" s="3"/>
      <c r="D941" s="3"/>
      <c r="E941" s="3"/>
      <c r="F941" s="3"/>
      <c r="G941" s="3"/>
      <c r="H941" s="3"/>
      <c r="I941" s="3"/>
      <c r="J941" s="3"/>
      <c r="K941" s="3"/>
    </row>
    <row r="942" spans="1:11" hidden="1" x14ac:dyDescent="0.2">
      <c r="A942" s="3"/>
      <c r="B942" s="3"/>
      <c r="C942" s="3"/>
      <c r="D942" s="3"/>
      <c r="E942" s="3"/>
      <c r="F942" s="3"/>
      <c r="G942" s="3"/>
      <c r="H942" s="3"/>
      <c r="I942" s="3"/>
      <c r="J942" s="3"/>
      <c r="K942" s="3"/>
    </row>
    <row r="943" spans="1:11" hidden="1" x14ac:dyDescent="0.2">
      <c r="A943" s="3"/>
      <c r="B943" s="3"/>
      <c r="C943" s="3"/>
      <c r="D943" s="3"/>
      <c r="E943" s="3"/>
      <c r="F943" s="3"/>
      <c r="G943" s="3"/>
      <c r="H943" s="3"/>
      <c r="I943" s="3"/>
      <c r="J943" s="3"/>
      <c r="K943" s="3"/>
    </row>
    <row r="944" spans="1:11" hidden="1" x14ac:dyDescent="0.2">
      <c r="A944" s="3"/>
      <c r="B944" s="3"/>
      <c r="C944" s="3"/>
      <c r="D944" s="3"/>
      <c r="E944" s="3"/>
      <c r="F944" s="3"/>
      <c r="G944" s="3"/>
      <c r="H944" s="3"/>
      <c r="I944" s="3"/>
      <c r="J944" s="3"/>
      <c r="K944" s="3"/>
    </row>
    <row r="945" spans="1:11" hidden="1" x14ac:dyDescent="0.2">
      <c r="A945" s="3"/>
      <c r="B945" s="3"/>
      <c r="C945" s="3"/>
      <c r="D945" s="3"/>
      <c r="E945" s="3"/>
      <c r="F945" s="3"/>
      <c r="G945" s="3"/>
      <c r="H945" s="3"/>
      <c r="I945" s="3"/>
      <c r="J945" s="3"/>
      <c r="K945" s="3"/>
    </row>
    <row r="946" spans="1:11" hidden="1" x14ac:dyDescent="0.2">
      <c r="A946" s="3"/>
      <c r="B946" s="3"/>
      <c r="C946" s="3"/>
      <c r="D946" s="3"/>
      <c r="E946" s="3"/>
      <c r="F946" s="3"/>
      <c r="G946" s="3"/>
      <c r="H946" s="3"/>
      <c r="I946" s="3"/>
      <c r="J946" s="3"/>
      <c r="K946" s="3"/>
    </row>
    <row r="947" spans="1:11" hidden="1" x14ac:dyDescent="0.2">
      <c r="A947" s="3"/>
      <c r="B947" s="3"/>
      <c r="C947" s="3"/>
      <c r="D947" s="3"/>
      <c r="E947" s="3"/>
      <c r="F947" s="3"/>
      <c r="G947" s="3"/>
      <c r="H947" s="3"/>
      <c r="I947" s="3"/>
      <c r="J947" s="3"/>
      <c r="K947" s="3"/>
    </row>
    <row r="948" spans="1:11" hidden="1" x14ac:dyDescent="0.2">
      <c r="A948" s="3"/>
      <c r="B948" s="3"/>
      <c r="C948" s="3"/>
      <c r="D948" s="3"/>
      <c r="E948" s="3"/>
      <c r="F948" s="3"/>
      <c r="G948" s="3"/>
      <c r="H948" s="3"/>
      <c r="I948" s="3"/>
      <c r="J948" s="3"/>
      <c r="K948" s="3"/>
    </row>
    <row r="949" spans="1:11" hidden="1" x14ac:dyDescent="0.2">
      <c r="A949" s="3"/>
      <c r="B949" s="3"/>
      <c r="C949" s="3"/>
      <c r="D949" s="3"/>
      <c r="E949" s="3"/>
      <c r="F949" s="3"/>
      <c r="G949" s="3"/>
      <c r="H949" s="3"/>
      <c r="I949" s="3"/>
      <c r="J949" s="3"/>
      <c r="K949" s="3"/>
    </row>
    <row r="950" spans="1:11" hidden="1" x14ac:dyDescent="0.2">
      <c r="A950" s="3"/>
      <c r="B950" s="3"/>
      <c r="C950" s="3"/>
      <c r="D950" s="3"/>
      <c r="E950" s="3"/>
      <c r="F950" s="3"/>
      <c r="G950" s="3"/>
      <c r="H950" s="3"/>
      <c r="I950" s="3"/>
      <c r="J950" s="3"/>
      <c r="K950" s="3"/>
    </row>
    <row r="951" spans="1:11" hidden="1" x14ac:dyDescent="0.2">
      <c r="A951" s="3"/>
      <c r="B951" s="3"/>
      <c r="C951" s="3"/>
      <c r="D951" s="3"/>
      <c r="E951" s="3"/>
      <c r="F951" s="3"/>
      <c r="G951" s="3"/>
      <c r="H951" s="3"/>
      <c r="I951" s="3"/>
      <c r="J951" s="3"/>
      <c r="K951" s="3"/>
    </row>
    <row r="952" spans="1:11" hidden="1" x14ac:dyDescent="0.2">
      <c r="A952" s="3"/>
      <c r="B952" s="3"/>
      <c r="C952" s="3"/>
      <c r="D952" s="3"/>
      <c r="E952" s="3"/>
      <c r="F952" s="3"/>
      <c r="G952" s="3"/>
      <c r="H952" s="3"/>
      <c r="I952" s="3"/>
      <c r="J952" s="3"/>
      <c r="K952" s="3"/>
    </row>
    <row r="953" spans="1:11" hidden="1" x14ac:dyDescent="0.2">
      <c r="A953" s="3"/>
      <c r="B953" s="3"/>
      <c r="C953" s="3"/>
      <c r="D953" s="3"/>
      <c r="E953" s="3"/>
      <c r="F953" s="3"/>
      <c r="G953" s="3"/>
      <c r="H953" s="3"/>
      <c r="I953" s="3"/>
      <c r="J953" s="3"/>
      <c r="K953" s="3"/>
    </row>
    <row r="954" spans="1:11" hidden="1" x14ac:dyDescent="0.2">
      <c r="A954" s="3"/>
      <c r="B954" s="3"/>
      <c r="C954" s="3"/>
      <c r="D954" s="3"/>
      <c r="E954" s="3"/>
      <c r="F954" s="3"/>
      <c r="G954" s="3"/>
      <c r="H954" s="3"/>
      <c r="I954" s="3"/>
      <c r="J954" s="3"/>
      <c r="K954" s="3"/>
    </row>
    <row r="955" spans="1:11" hidden="1" x14ac:dyDescent="0.2">
      <c r="A955" s="3"/>
      <c r="B955" s="3"/>
      <c r="C955" s="3"/>
      <c r="D955" s="3"/>
      <c r="E955" s="3"/>
      <c r="F955" s="3"/>
      <c r="G955" s="3"/>
      <c r="H955" s="3"/>
      <c r="I955" s="3"/>
      <c r="J955" s="3"/>
      <c r="K955" s="3"/>
    </row>
    <row r="956" spans="1:11" hidden="1" x14ac:dyDescent="0.2">
      <c r="A956" s="3"/>
      <c r="B956" s="3"/>
      <c r="C956" s="3"/>
      <c r="D956" s="3"/>
      <c r="E956" s="3"/>
      <c r="F956" s="3"/>
      <c r="G956" s="3"/>
      <c r="H956" s="3"/>
      <c r="I956" s="3"/>
      <c r="J956" s="3"/>
      <c r="K956" s="3"/>
    </row>
    <row r="957" spans="1:11" hidden="1" x14ac:dyDescent="0.2">
      <c r="A957" s="3"/>
      <c r="B957" s="3"/>
      <c r="C957" s="3"/>
      <c r="D957" s="3"/>
      <c r="E957" s="3"/>
      <c r="F957" s="3"/>
      <c r="G957" s="3"/>
      <c r="H957" s="3"/>
      <c r="I957" s="3"/>
      <c r="J957" s="3"/>
      <c r="K957" s="3"/>
    </row>
    <row r="958" spans="1:11" hidden="1" x14ac:dyDescent="0.2">
      <c r="A958" s="3"/>
      <c r="B958" s="3"/>
      <c r="C958" s="3"/>
      <c r="D958" s="3"/>
      <c r="E958" s="3"/>
      <c r="F958" s="3"/>
      <c r="G958" s="3"/>
      <c r="H958" s="3"/>
      <c r="I958" s="3"/>
      <c r="J958" s="3"/>
      <c r="K958" s="3"/>
    </row>
    <row r="959" spans="1:11" hidden="1" x14ac:dyDescent="0.2">
      <c r="A959" s="3"/>
      <c r="B959" s="3"/>
      <c r="C959" s="3"/>
      <c r="D959" s="3"/>
      <c r="E959" s="3"/>
      <c r="F959" s="3"/>
      <c r="G959" s="3"/>
      <c r="H959" s="3"/>
      <c r="I959" s="3"/>
      <c r="J959" s="3"/>
      <c r="K959" s="3"/>
    </row>
    <row r="960" spans="1:11" hidden="1" x14ac:dyDescent="0.2">
      <c r="A960" s="3"/>
      <c r="B960" s="3"/>
      <c r="C960" s="3"/>
      <c r="D960" s="3"/>
      <c r="E960" s="3"/>
      <c r="F960" s="3"/>
      <c r="G960" s="3"/>
      <c r="H960" s="3"/>
      <c r="I960" s="3"/>
      <c r="J960" s="3"/>
      <c r="K960" s="3"/>
    </row>
    <row r="961" spans="1:11" hidden="1" x14ac:dyDescent="0.2">
      <c r="A961" s="3"/>
      <c r="B961" s="3"/>
      <c r="C961" s="3"/>
      <c r="D961" s="3"/>
      <c r="E961" s="3"/>
      <c r="F961" s="3"/>
      <c r="G961" s="3"/>
      <c r="H961" s="3"/>
      <c r="I961" s="3"/>
      <c r="J961" s="3"/>
      <c r="K961" s="3"/>
    </row>
    <row r="962" spans="1:11" hidden="1" x14ac:dyDescent="0.2">
      <c r="A962" s="3"/>
      <c r="B962" s="3"/>
      <c r="C962" s="3"/>
      <c r="D962" s="3"/>
      <c r="E962" s="3"/>
      <c r="F962" s="3"/>
      <c r="G962" s="3"/>
      <c r="H962" s="3"/>
      <c r="I962" s="3"/>
      <c r="J962" s="3"/>
      <c r="K962" s="3"/>
    </row>
    <row r="963" spans="1:11" x14ac:dyDescent="0.2"/>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3" sqref="A3"/>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1572</v>
      </c>
      <c r="B2" s="169"/>
      <c r="C2" s="170"/>
      <c r="D2" s="309"/>
      <c r="E2" s="171"/>
      <c r="F2" s="171" t="str">
        <f>'Auto Responses'!$A$36</f>
        <v>Version 4.1.2</v>
      </c>
      <c r="J2" s="1"/>
    </row>
    <row r="3" spans="1:10" s="1" customFormat="1" ht="29.1" customHeight="1" x14ac:dyDescent="0.2">
      <c r="A3" s="38" t="s">
        <v>975</v>
      </c>
      <c r="B3" s="39"/>
      <c r="C3" s="67" t="str">
        <f>'START HERE'!$C$3</f>
        <v>Oct 17 2025</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250" customFormat="1" ht="19.5" customHeight="1" x14ac:dyDescent="0.2">
      <c r="A11" s="247" t="str">
        <f>HLOOKUP($A$4,'Auto Responses'!$D$2:$D$9,8,0)&amp;""</f>
        <v>For full instructions, please visit educause.edu/HECVAT</v>
      </c>
      <c r="B11" s="248"/>
      <c r="C11" s="249"/>
      <c r="D11" s="320"/>
      <c r="E11" s="248"/>
      <c r="F11" s="265"/>
      <c r="I11" s="251"/>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0"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0" s="1" customFormat="1" ht="22.35" customHeight="1" x14ac:dyDescent="0.2">
      <c r="A16" s="19" t="s">
        <v>26</v>
      </c>
      <c r="B16" s="20" t="str">
        <f>VLOOKUP($A16,Questions!$A$2:$X$333,2,0)&amp;""</f>
        <v>Solution Provider Contact Name</v>
      </c>
      <c r="C16" s="77" t="str">
        <f>VLOOKUP($A16,'START HERE'!$A$13:$C$21,3,0)&amp;""</f>
        <v>James Cole</v>
      </c>
      <c r="D16" s="33"/>
      <c r="E16" s="33"/>
      <c r="F16" s="51"/>
      <c r="I16" s="36"/>
      <c r="J16" s="36"/>
    </row>
    <row r="17" spans="1:10" s="1" customFormat="1" ht="22.35" customHeight="1" x14ac:dyDescent="0.2">
      <c r="A17" s="19" t="s">
        <v>27</v>
      </c>
      <c r="B17" s="20" t="str">
        <f>VLOOKUP($A17,Questions!$A$2:$X$333,2,0)&amp;""</f>
        <v>Solution Provider Contact Title</v>
      </c>
      <c r="C17" s="77" t="str">
        <f>VLOOKUP($A17,'START HERE'!$A$13:$C$21,3,0)&amp;""</f>
        <v>NSSE Shorts Coordinator</v>
      </c>
      <c r="D17" s="33"/>
      <c r="E17" s="33"/>
      <c r="F17" s="51"/>
      <c r="I17" s="36"/>
      <c r="J17" s="36"/>
    </row>
    <row r="18" spans="1:10" s="1" customFormat="1" ht="22.35" customHeight="1" x14ac:dyDescent="0.2">
      <c r="A18" s="19" t="s">
        <v>28</v>
      </c>
      <c r="B18" s="20" t="str">
        <f>VLOOKUP($A18,Questions!$A$2:$X$333,2,0)&amp;""</f>
        <v>Solution Provider Contact Email</v>
      </c>
      <c r="C18" s="77" t="str">
        <f>VLOOKUP($A18,'START HERE'!$A$13:$C$21,3,0)&amp;""</f>
        <v>nsseshrt@iu.edu</v>
      </c>
      <c r="D18" s="33"/>
      <c r="E18" s="33"/>
      <c r="F18" s="51"/>
      <c r="I18" s="36"/>
      <c r="J18" s="36"/>
    </row>
    <row r="19" spans="1:10" s="1" customFormat="1" ht="22.35" customHeight="1" x14ac:dyDescent="0.2">
      <c r="A19" s="19" t="s">
        <v>29</v>
      </c>
      <c r="B19" s="20" t="str">
        <f>VLOOKUP($A19,Questions!$A$2:$X$333,2,0)&amp;""</f>
        <v>Solution Provider Contact Phone Number</v>
      </c>
      <c r="C19" s="77" t="str">
        <f>VLOOKUP($A19,'START HERE'!$A$13:$C$21,3,0)&amp;""</f>
        <v>812-856-5824</v>
      </c>
      <c r="D19" s="33"/>
      <c r="E19" s="33"/>
      <c r="F19" s="51"/>
      <c r="I19" s="36"/>
      <c r="J19" s="36"/>
    </row>
    <row r="20" spans="1:10" s="1" customFormat="1" ht="22.35" customHeight="1" thickBot="1" x14ac:dyDescent="0.25">
      <c r="A20" s="19" t="s">
        <v>30</v>
      </c>
      <c r="B20" s="20" t="str">
        <f>VLOOKUP($A20,Questions!$A$2:$X$333,2,0)&amp;""</f>
        <v>Country of Company Headquarters</v>
      </c>
      <c r="C20" s="77" t="str">
        <f>VLOOKUP($A20,'START HERE'!$A$13:$C$21,3,0)&amp;""</f>
        <v>Bloomington, Indiana</v>
      </c>
      <c r="D20" s="33"/>
      <c r="E20" s="33"/>
      <c r="F20" s="51"/>
      <c r="I20" s="36"/>
      <c r="J20" s="36"/>
    </row>
    <row r="21" spans="1:10" s="1" customFormat="1" ht="37.35" customHeight="1" thickBot="1" x14ac:dyDescent="0.25">
      <c r="A21" s="64" t="str">
        <f>VLOOKUP(LEFT($A22,4),'Auto Responses'!$N$4:$O$38,2,0)&amp;""</f>
        <v xml:space="preserve"> Documentation</v>
      </c>
      <c r="B21" s="23"/>
      <c r="C21" s="13" t="s">
        <v>1555</v>
      </c>
      <c r="D21" s="13" t="s">
        <v>72</v>
      </c>
      <c r="E21" s="32" t="s">
        <v>883</v>
      </c>
      <c r="F21" s="188" t="s">
        <v>884</v>
      </c>
      <c r="I21" s="36"/>
      <c r="J21" s="36"/>
    </row>
    <row r="22" spans="1:10" s="1" customFormat="1" ht="60" x14ac:dyDescent="0.2">
      <c r="A22" s="19" t="s">
        <v>70</v>
      </c>
      <c r="B22" s="18" t="str">
        <f>VLOOKUP($A22,Questions!$A$2:$X$333,2,0)</f>
        <v>Do you have a well-documented business continuity plan (BCP), with a clear owner, that is tested annually?*</v>
      </c>
      <c r="C22" s="21" t="s">
        <v>149</v>
      </c>
      <c r="D22" s="35" t="s">
        <v>1789</v>
      </c>
      <c r="E22" s="168" t="str">
        <f>IF($C22="Yes",VLOOKUP($A22,Questions!$A$2:$X$333,17,0)&amp;"",IF($C22="No",VLOOKUP($A22,Questions!$A$2:$X$333,16,0)&amp;"",VLOOKUP($A22,Questions!$A$2:$X$333,15,0)&amp;""))</f>
        <v/>
      </c>
      <c r="F22" s="202" t="str">
        <f>VLOOKUP($A22,'Institution Evaluation'!$A$56:$F$346,6,0)&amp;""</f>
        <v/>
      </c>
      <c r="I22" s="36"/>
      <c r="J22" s="36"/>
    </row>
    <row r="23" spans="1:10" s="1" customFormat="1" ht="60" x14ac:dyDescent="0.2">
      <c r="A23" s="19" t="s">
        <v>76</v>
      </c>
      <c r="B23" s="18" t="str">
        <f>VLOOKUP($A23,Questions!$A$2:$X$333,2,0)</f>
        <v>Do you have a well-documented disaster recovery plan (DRP), with a clear owner, that is tested annually?*</v>
      </c>
      <c r="C23" s="21" t="s">
        <v>149</v>
      </c>
      <c r="D23" s="35" t="s">
        <v>1788</v>
      </c>
      <c r="E23" s="168" t="str">
        <f>IF($C23="Yes",VLOOKUP($A23,Questions!$A$2:$X$333,17,0)&amp;"",IF($C23="No",VLOOKUP($A23,Questions!$A$2:$X$333,16,0)&amp;"",VLOOKUP($A23,Questions!$A$2:$X$333,15,0)&amp;""))</f>
        <v/>
      </c>
      <c r="F23" s="202" t="str">
        <f>VLOOKUP($A23,'Institution Evaluation'!$A$56:$F$346,6,0)&amp;""</f>
        <v/>
      </c>
      <c r="I23" s="36"/>
      <c r="J23" s="36"/>
    </row>
    <row r="24" spans="1:10" s="1" customFormat="1" ht="60" x14ac:dyDescent="0.2">
      <c r="A24" s="19" t="s">
        <v>77</v>
      </c>
      <c r="B24" s="18" t="str">
        <f>VLOOKUP($A24,Questions!$A$2:$X$333,2,0)</f>
        <v>Have you undergone a SSAE 18/SOC 2 audit?</v>
      </c>
      <c r="C24" s="21" t="s">
        <v>149</v>
      </c>
      <c r="D24" s="35" t="s">
        <v>1788</v>
      </c>
      <c r="E24" s="168" t="str">
        <f>IF($C24="Yes",VLOOKUP($A24,Questions!$A$2:$X$333,17,0)&amp;"",IF($C24="No",VLOOKUP($A24,Questions!$A$2:$X$333,16,0)&amp;"",VLOOKUP($A24,Questions!$A$2:$X$333,15,0)&amp;""))</f>
        <v>Describe any plans to undergo a SSAE 18 audit.</v>
      </c>
      <c r="F24" s="202" t="str">
        <f>VLOOKUP($A24,'Institution Evaluation'!$A$56:$F$346,6,0)&amp;""</f>
        <v/>
      </c>
      <c r="I24" s="36"/>
      <c r="J24" s="36"/>
    </row>
    <row r="25" spans="1:10" s="1" customFormat="1" ht="60" x14ac:dyDescent="0.2">
      <c r="A25" s="19" t="s">
        <v>80</v>
      </c>
      <c r="B25" s="18" t="str">
        <f>VLOOKUP($A25,Questions!$A$2:$X$333,2,0)</f>
        <v>Do you conform with a specific industry standard security framework (e.g., NIST Cybersecurity Framework, CIS Controls, ISO 27001, etc.)?</v>
      </c>
      <c r="C25" s="21" t="s">
        <v>149</v>
      </c>
      <c r="D25" s="35" t="s">
        <v>1790</v>
      </c>
      <c r="E25" s="168" t="str">
        <f>IF($C25="Yes",VLOOKUP($A25,Questions!$A$2:$X$333,17,0)&amp;"",IF($C25="No",VLOOKUP($A25,Questions!$A$2:$X$333,16,0)&amp;"",VLOOKUP($A25,Questions!$A$2:$X$333,15,0)&amp;""))</f>
        <v>Describe any plans to conform to an industry standard security framework.</v>
      </c>
      <c r="F25" s="202" t="str">
        <f>VLOOKUP($A25,'Institution Evaluation'!$A$56:$F$346,6,0)&amp;""</f>
        <v/>
      </c>
      <c r="I25" s="36"/>
      <c r="J25" s="36"/>
    </row>
    <row r="26" spans="1:10" s="1" customFormat="1" ht="60" x14ac:dyDescent="0.2">
      <c r="A26" s="19" t="s">
        <v>84</v>
      </c>
      <c r="B26" s="18" t="str">
        <f>VLOOKUP($A26,Questions!$A$2:$X$333,2,0)</f>
        <v>Can you provide overall system and/or application architecture diagrams, including a full description of the data flow for all components of the system?</v>
      </c>
      <c r="C26" s="21" t="s">
        <v>149</v>
      </c>
      <c r="D26" s="35" t="s">
        <v>1790</v>
      </c>
      <c r="E26" s="168" t="str">
        <f>IF($C26="Yes",VLOOKUP($A26,Questions!$A$2:$X$333,17,0)&amp;"",IF($C26="No",VLOOKUP($A26,Questions!$A$2:$X$333,16,0)&amp;"",VLOOKUP($A26,Questions!$A$2:$X$333,15,0)&amp;""))</f>
        <v>Provide a detailed summary of overall system and/or application architecture.</v>
      </c>
      <c r="F26" s="202" t="str">
        <f>VLOOKUP($A26,'Institution Evaluation'!$A$56:$F$346,6,0)&amp;""</f>
        <v/>
      </c>
      <c r="I26" s="36"/>
      <c r="J26" s="36"/>
    </row>
    <row r="27" spans="1:10" s="1" customFormat="1" ht="112.5" customHeight="1" x14ac:dyDescent="0.2">
      <c r="A27" s="19" t="s">
        <v>88</v>
      </c>
      <c r="B27" s="18" t="str">
        <f>VLOOKUP($A27,Questions!$A$2:$X$333,2,0)</f>
        <v>Does your organization have a data privacy policy?</v>
      </c>
      <c r="C27" s="21" t="s">
        <v>40</v>
      </c>
      <c r="D27" s="35" t="s">
        <v>1827</v>
      </c>
      <c r="E27" s="168" t="str">
        <f>IF($C27="Yes",VLOOKUP($A27,Questions!$A$2:$X$333,17,0)&amp;"",IF($C27="No",VLOOKUP($A27,Questions!$A$2:$X$333,16,0)&amp;"",VLOOKUP($A27,Questions!$A$2:$X$333,15,0)&amp;""))</f>
        <v>Provide your data privacy document (or a valid link to it) upon submission.</v>
      </c>
      <c r="F27" s="202" t="str">
        <f>VLOOKUP($A27,'Institution Evaluation'!$A$56:$F$346,6,0)&amp;""</f>
        <v/>
      </c>
      <c r="I27" s="36"/>
      <c r="J27" s="36"/>
    </row>
    <row r="28" spans="1:10" s="1" customFormat="1" ht="104.25" customHeight="1" thickBot="1" x14ac:dyDescent="0.25">
      <c r="A28" s="19" t="s">
        <v>92</v>
      </c>
      <c r="B28" s="18" t="str">
        <f>VLOOKUP($A28,Questions!$A$2:$X$333,2,0)</f>
        <v>Do you have a documented, and currently implemented, employee onboarding and offboarding policy?</v>
      </c>
      <c r="C28" s="21" t="s">
        <v>40</v>
      </c>
      <c r="D28" s="35" t="s">
        <v>1828</v>
      </c>
      <c r="E28" s="168" t="str">
        <f>IF($C28="Yes",VLOOKUP($A28,Questions!$A$2:$X$333,17,0)&amp;"",IF($C28="No",VLOOKUP($A28,Questions!$A$2:$X$333,16,0)&amp;"",VLOOKUP($A28,Questions!$A$2:$X$333,15,0)&amp;""))</f>
        <v>Provide a reference to your employee onboarding and offboarding policy and supporting documentation or submit it along with this fully populated HECVAT.</v>
      </c>
      <c r="F28" s="202" t="str">
        <f>VLOOKUP($A28,'Institution Evaluation'!$A$56:$F$346,6,0)&amp;""</f>
        <v/>
      </c>
      <c r="G28" s="239" t="s">
        <v>1505</v>
      </c>
      <c r="I28" s="36"/>
      <c r="J28" s="36"/>
    </row>
    <row r="29" spans="1:10" s="1" customFormat="1" ht="37.35" customHeight="1" thickBot="1" x14ac:dyDescent="0.25">
      <c r="A29" s="64" t="str">
        <f>VLOOKUP(LEFT($A30,4),'Auto Responses'!$N$4:$O$38,2,0)&amp;""</f>
        <v xml:space="preserve"> Assessment of Third Parties</v>
      </c>
      <c r="B29" s="23"/>
      <c r="C29" s="13" t="s">
        <v>1555</v>
      </c>
      <c r="D29" s="13" t="s">
        <v>1826</v>
      </c>
      <c r="E29" s="32" t="s">
        <v>883</v>
      </c>
      <c r="F29" s="188" t="s">
        <v>884</v>
      </c>
      <c r="I29" s="36"/>
      <c r="J29" s="36"/>
    </row>
    <row r="30" spans="1:10" s="1" customFormat="1" ht="60" x14ac:dyDescent="0.2">
      <c r="A30" s="19" t="s">
        <v>130</v>
      </c>
      <c r="B30" s="18" t="str">
        <f>VLOOKUP($A30,Questions!$A$2:$X$333,2,0)</f>
        <v>Do you perform security assessments of third-party companies with which you share data (e.g., hosting providers, cloud services, PaaS, IaaS, SaaS)?*</v>
      </c>
      <c r="C30" s="21" t="s">
        <v>149</v>
      </c>
      <c r="D30" s="35" t="s">
        <v>1790</v>
      </c>
      <c r="E30" s="168" t="str">
        <f>IF($C30="Yes",VLOOKUP($A30,Questions!$A$2:$X$333,17,0)&amp;"",IF($C30="No",VLOOKUP($A30,Questions!$A$2:$X$333,16,0)&amp;"",VLOOKUP($A30,Questions!$A$2:$X$333,15,0)&amp;""))</f>
        <v>State your plans to perform security assessments of third-party companies.</v>
      </c>
      <c r="F30" s="202" t="str">
        <f>VLOOKUP($A30,'Institution Evaluation'!$A$56:$F$346,6,0)&amp;""</f>
        <v/>
      </c>
      <c r="I30" s="36"/>
      <c r="J30" s="36"/>
    </row>
    <row r="31" spans="1:10" s="1" customFormat="1" ht="60" x14ac:dyDescent="0.2">
      <c r="A31" s="19" t="s">
        <v>134</v>
      </c>
      <c r="B31" s="18" t="str">
        <f>VLOOKUP($A31,Questions!$A$2:$X$333,2,0)</f>
        <v>Do you have contractual language in place with third parties governing access to institutional data?*</v>
      </c>
      <c r="C31" s="21" t="s">
        <v>149</v>
      </c>
      <c r="D31" s="35" t="s">
        <v>1790</v>
      </c>
      <c r="E31" s="168" t="str">
        <f>IF($C31="Yes",VLOOKUP($A31,Questions!$A$2:$X$333,17,0)&amp;"",IF($C31="No",VLOOKUP($A31,Questions!$A$2:$X$333,16,0)&amp;"",VLOOKUP($A31,Questions!$A$2:$X$333,15,0)&amp;""))</f>
        <v>List each third party and why institutional data is shared with them. Format example: [Third Party Name] - Reason</v>
      </c>
      <c r="F31" s="202" t="str">
        <f>VLOOKUP($A31,'Institution Evaluation'!$A$56:$F$346,6,0)&amp;""</f>
        <v/>
      </c>
      <c r="I31" s="36"/>
      <c r="J31" s="36"/>
    </row>
    <row r="32" spans="1:10" s="1" customFormat="1" ht="60" x14ac:dyDescent="0.2">
      <c r="A32" s="19" t="s">
        <v>137</v>
      </c>
      <c r="B32" s="18" t="str">
        <f>VLOOKUP($A32,Questions!$A$2:$X$333,2,0)</f>
        <v>Do the contracts in place with these third parties address liability in the event of a data breach?*</v>
      </c>
      <c r="C32" s="21" t="s">
        <v>149</v>
      </c>
      <c r="D32" s="35" t="s">
        <v>1790</v>
      </c>
      <c r="E32" s="168" t="str">
        <f>IF($C32="Yes",VLOOKUP($A32,Questions!$A$2:$X$333,17,0)&amp;"",IF($C32="No",VLOOKUP($A32,Questions!$A$2:$X$333,16,0)&amp;"",VLOOKUP($A32,Questions!$A$2:$X$333,15,0)&amp;""))</f>
        <v/>
      </c>
      <c r="F32" s="202" t="str">
        <f>VLOOKUP($A32,'Institution Evaluation'!$A$56:$F$346,6,0)&amp;""</f>
        <v/>
      </c>
      <c r="I32" s="36"/>
      <c r="J32" s="36"/>
    </row>
    <row r="33" spans="1:10" s="1" customFormat="1" ht="60" x14ac:dyDescent="0.2">
      <c r="A33" s="19" t="s">
        <v>138</v>
      </c>
      <c r="B33" s="18" t="str">
        <f>VLOOKUP($A33,Questions!$A$2:$X$333,2,0)</f>
        <v>Do you have an implemented third-party management strategy?*</v>
      </c>
      <c r="C33" s="21" t="s">
        <v>149</v>
      </c>
      <c r="D33" s="35" t="s">
        <v>1790</v>
      </c>
      <c r="E33" s="168" t="str">
        <f>IF($C33="Yes",VLOOKUP($A33,Questions!$A$2:$X$333,17,0)&amp;"",IF($C33="No",VLOOKUP($A33,Questions!$A$2:$X$333,16,0)&amp;"",VLOOKUP($A33,Questions!$A$2:$X$333,15,0)&amp;""))</f>
        <v>State your plans to implement a third-party management strategy.</v>
      </c>
      <c r="F33" s="202" t="str">
        <f>VLOOKUP($A33,'Institution Evaluation'!$A$56:$F$346,6,0)&amp;""</f>
        <v/>
      </c>
      <c r="I33" s="36"/>
      <c r="J33" s="36"/>
    </row>
    <row r="34" spans="1:10" s="1" customFormat="1" ht="60.75" thickBot="1" x14ac:dyDescent="0.25">
      <c r="A34" s="19" t="s">
        <v>141</v>
      </c>
      <c r="B34" s="18" t="str">
        <f>VLOOKUP($A34,Questions!$A$2:$X$333,2,0)</f>
        <v>Do you have a process and implemented procedures for managing your hardware supply chain (e.g., telecommunications equipment, export licensing, computing devices)?</v>
      </c>
      <c r="C34" s="21" t="s">
        <v>149</v>
      </c>
      <c r="D34" s="35" t="s">
        <v>1790</v>
      </c>
      <c r="E34" s="168" t="str">
        <f>IF($C34="Yes",VLOOKUP($A34,Questions!$A$2:$X$333,17,0)&amp;"",IF($C34="No",VLOOKUP($A34,Questions!$A$2:$X$333,16,0)&amp;"",VLOOKUP($A34,Questions!$A$2:$X$333,15,0)&amp;""))</f>
        <v>State your plans to create a process and implemented procedures for managing your hardware supply chain.</v>
      </c>
      <c r="F34" s="202" t="str">
        <f>VLOOKUP($A34,'Institution Evaluation'!$A$56:$F$346,6,0)&amp;""</f>
        <v/>
      </c>
      <c r="G34" s="239" t="s">
        <v>1505</v>
      </c>
      <c r="I34" s="36"/>
      <c r="J34" s="36"/>
    </row>
    <row r="35" spans="1:10" s="1" customFormat="1" ht="37.35" customHeight="1" thickBot="1" x14ac:dyDescent="0.25">
      <c r="A35" s="64" t="str">
        <f>VLOOKUP(LEFT($A36,4),'Auto Responses'!$N$4:$O$38,2,0)&amp;""</f>
        <v xml:space="preserve"> Change Management</v>
      </c>
      <c r="B35" s="23"/>
      <c r="C35" s="13" t="s">
        <v>1555</v>
      </c>
      <c r="D35" s="13" t="s">
        <v>72</v>
      </c>
      <c r="E35" s="32" t="s">
        <v>883</v>
      </c>
      <c r="F35" s="188" t="s">
        <v>884</v>
      </c>
      <c r="I35" s="36"/>
      <c r="J35" s="36"/>
    </row>
    <row r="36" spans="1:10" s="1" customFormat="1" ht="38.25" customHeight="1" x14ac:dyDescent="0.2">
      <c r="A36" s="19" t="s">
        <v>277</v>
      </c>
      <c r="B36" s="18" t="str">
        <f>VLOOKUP($A36,Questions!$A$2:$X$333,2,0)</f>
        <v>Will the institution be notified of major changes to your environment that could impact the institution's security posture?*</v>
      </c>
      <c r="C36" s="21" t="s">
        <v>40</v>
      </c>
      <c r="D36" s="321"/>
      <c r="E36" s="168" t="str">
        <f>IF($C36="Yes",VLOOKUP($A36,Questions!$A$2:$X$333,17,0)&amp;"",IF($C36="No",VLOOKUP($A36,Questions!$A$2:$X$333,16,0)&amp;"",VLOOKUP($A36,Questions!$A$2:$X$333,15,0)&amp;""))</f>
        <v>State how and when the institution will be notified of major changes to your environment.</v>
      </c>
      <c r="F36" s="202" t="str">
        <f>VLOOKUP($A36,'Institution Evaluation'!$A$56:$F$346,6,0)&amp;""</f>
        <v/>
      </c>
      <c r="I36" s="36"/>
      <c r="J36" s="36"/>
    </row>
    <row r="37" spans="1:10" s="1" customFormat="1" ht="54" customHeight="1" x14ac:dyDescent="0.2">
      <c r="A37" s="19" t="s">
        <v>282</v>
      </c>
      <c r="B37" s="18" t="str">
        <f>VLOOKUP($A37,Questions!$A$2:$X$333,2,0)</f>
        <v>Does the system support client customizations from one release to another?*</v>
      </c>
      <c r="C37" s="356" t="s">
        <v>149</v>
      </c>
      <c r="D37" s="357" t="s">
        <v>1784</v>
      </c>
      <c r="E37" s="168" t="str">
        <f>IF($C37="Yes",VLOOKUP($A37,Questions!$A$2:$X$333,17,0)&amp;"",IF($C37="No",VLOOKUP($A37,Questions!$A$2:$X$333,16,0)&amp;"",IF($C37="N/A",VLOOKUP($A37,Questions!$A$2:$X$333,18,0)&amp;"",VLOOKUP($A37,Questions!$A$2:$X$333,15,0)&amp;"")))</f>
        <v>Clarify the lack of support strategy for client customizations from one release to another.</v>
      </c>
      <c r="F37" s="202" t="str">
        <f>VLOOKUP($A37,'Institution Evaluation'!$A$56:$F$346,6,0)&amp;""</f>
        <v/>
      </c>
      <c r="I37" s="36"/>
      <c r="J37" s="36"/>
    </row>
    <row r="38" spans="1:10" s="1" customFormat="1" ht="60" x14ac:dyDescent="0.2">
      <c r="A38" s="19" t="s">
        <v>283</v>
      </c>
      <c r="B38" s="18" t="str">
        <f>VLOOKUP($A38,Questions!$A$2:$X$333,2,0)</f>
        <v>Do you have an implemented system configuration management process (e.g.,secure "gold" images, etc.)?*</v>
      </c>
      <c r="C38" s="21" t="s">
        <v>149</v>
      </c>
      <c r="D38" s="35" t="s">
        <v>1790</v>
      </c>
      <c r="E38" s="168" t="str">
        <f>IF($C38="Yes",VLOOKUP($A38,Questions!$A$2:$X$333,17,0)&amp;"",IF($C38="No",VLOOKUP($A38,Questions!$A$2:$X$333,16,0)&amp;"",IF($C38="N/A",VLOOKUP($A38,Questions!$A$2:$X$333,18,0)&amp;"",VLOOKUP($A38,Questions!$A$2:$X$333,15,0)&amp;"")))</f>
        <v>Describe how system configuration management is currently handled in your environment.</v>
      </c>
      <c r="F38" s="202" t="str">
        <f>VLOOKUP($A38,'Institution Evaluation'!$A$56:$F$346,6,0)&amp;""</f>
        <v/>
      </c>
      <c r="I38" s="36"/>
      <c r="J38" s="36"/>
    </row>
    <row r="39" spans="1:10" s="1" customFormat="1" ht="60" x14ac:dyDescent="0.2">
      <c r="A39" s="19" t="s">
        <v>286</v>
      </c>
      <c r="B39" s="18" t="str">
        <f>VLOOKUP($A39,Questions!$A$2:$X$333,2,0)</f>
        <v>Do you have a documented change management process?</v>
      </c>
      <c r="C39" s="21" t="s">
        <v>149</v>
      </c>
      <c r="D39" s="35" t="s">
        <v>1790</v>
      </c>
      <c r="E39" s="168" t="str">
        <f>IF($C39="Yes",VLOOKUP($A39,Questions!$A$2:$X$333,17,0)&amp;"",IF($C39="No",VLOOKUP($A39,Questions!$A$2:$X$333,16,0)&amp;"",VLOOKUP($A39,Questions!$A$2:$X$333,15,0)&amp;""))</f>
        <v>Briefly summarize your response.</v>
      </c>
      <c r="F39" s="202" t="str">
        <f>VLOOKUP($A39,'Institution Evaluation'!$A$56:$F$346,6,0)&amp;""</f>
        <v/>
      </c>
      <c r="I39" s="36"/>
      <c r="J39" s="36"/>
    </row>
    <row r="40" spans="1:10" s="1" customFormat="1" ht="60" x14ac:dyDescent="0.2">
      <c r="A40" s="19" t="s">
        <v>290</v>
      </c>
      <c r="B40" s="18" t="str">
        <f>VLOOKUP($A40,Questions!$A$2:$X$333,2,0)</f>
        <v>Does your change management process minimally include authorization, impact analysis, testing, and validation before moving changes to production?</v>
      </c>
      <c r="C40" s="21" t="s">
        <v>149</v>
      </c>
      <c r="D40" s="35" t="s">
        <v>1790</v>
      </c>
      <c r="E40" s="168" t="str">
        <f>IF($C40="Yes",VLOOKUP($A40,Questions!$A$2:$X$333,17,0)&amp;"",IF($C40="No",VLOOKUP($A40,Questions!$A$2:$X$333,16,0)&amp;"",VLOOKUP($A40,Questions!$A$2:$X$333,15,0)&amp;""))</f>
        <v>State your plans to implement change management in your environment or clarify what your change management processes do include.</v>
      </c>
      <c r="F40" s="202" t="str">
        <f>VLOOKUP($A40,'Institution Evaluation'!$A$56:$F$346,6,0)&amp;""</f>
        <v/>
      </c>
      <c r="I40" s="36"/>
      <c r="J40" s="36"/>
    </row>
    <row r="41" spans="1:10" s="1" customFormat="1" ht="60" x14ac:dyDescent="0.2">
      <c r="A41" s="19" t="s">
        <v>294</v>
      </c>
      <c r="B41" s="18" t="str">
        <f>VLOOKUP($A41,Questions!$A$2:$X$333,2,0)</f>
        <v>Does your change management process verify that all required third-party libraries and dependencies are still supported with each major change?</v>
      </c>
      <c r="C41" s="21" t="s">
        <v>149</v>
      </c>
      <c r="D41" s="35" t="s">
        <v>1790</v>
      </c>
      <c r="E41" s="168" t="str">
        <f>IF($C41="Yes",VLOOKUP($A41,Questions!$A$2:$X$333,17,0)&amp;"",IF($C41="No",VLOOKUP($A41,Questions!$A$2:$X$333,16,0)&amp;"",VLOOKUP($A41,Questions!$A$2:$X$333,15,0)&amp;""))</f>
        <v>Please describe any plans to implement third-party library dependancy tracking.</v>
      </c>
      <c r="F41" s="202" t="str">
        <f>VLOOKUP($A41,'Institution Evaluation'!$A$56:$F$346,6,0)&amp;""</f>
        <v/>
      </c>
      <c r="I41" s="36"/>
      <c r="J41" s="36"/>
    </row>
    <row r="42" spans="1:10" s="1" customFormat="1" ht="60" x14ac:dyDescent="0.2">
      <c r="A42" s="19" t="s">
        <v>298</v>
      </c>
      <c r="B42" s="18" t="str">
        <f>VLOOKUP($A42,Questions!$A$2:$X$333,2,0)</f>
        <v>Do you have policy and procedure, currently implemented, managing how critical patches are applied to all systems and applications?</v>
      </c>
      <c r="C42" s="21" t="s">
        <v>149</v>
      </c>
      <c r="D42" s="35" t="s">
        <v>1790</v>
      </c>
      <c r="E42" s="168" t="str">
        <f>IF($C42="Yes",VLOOKUP($A42,Questions!$A$2:$X$333,17,0)&amp;"",IF($C42="No",VLOOKUP($A42,Questions!$A$2:$X$333,16,0)&amp;"",VLOOKUP($A42,Questions!$A$2:$X$333,15,0)&amp;""))</f>
        <v>State your plans to implement policy and procedure(s) to manage how critical patches are applied to systems and applications.</v>
      </c>
      <c r="F42" s="202" t="str">
        <f>VLOOKUP($A42,'Institution Evaluation'!$A$56:$F$346,6,0)&amp;""</f>
        <v/>
      </c>
      <c r="I42" s="36"/>
      <c r="J42" s="36"/>
    </row>
    <row r="43" spans="1:10" s="1" customFormat="1" ht="60" x14ac:dyDescent="0.2">
      <c r="A43" s="19" t="s">
        <v>302</v>
      </c>
      <c r="B43" s="18" t="str">
        <f>VLOOKUP($A43,Questions!$A$2:$X$333,2,0)</f>
        <v>Have you implemented policies and procedures that guide how security risks are mitigated until patches can be applied?</v>
      </c>
      <c r="C43" s="21" t="s">
        <v>149</v>
      </c>
      <c r="D43" s="35" t="s">
        <v>1790</v>
      </c>
      <c r="E43" s="168" t="str">
        <f>IF($C43="Yes",VLOOKUP($A43,Questions!$A$2:$X$333,17,0)&amp;"",IF($C43="No",VLOOKUP($A43,Questions!$A$2:$X$333,16,0)&amp;"",VLOOKUP($A43,Questions!$A$2:$X$333,15,0)&amp;""))</f>
        <v>State your plans to implement policy and procedure(s) guiding risk mitigation practices before critical patches can be applied.</v>
      </c>
      <c r="F43" s="202" t="str">
        <f>VLOOKUP($A43,'Institution Evaluation'!$A$56:$F$346,6,0)&amp;""</f>
        <v/>
      </c>
      <c r="I43" s="36"/>
      <c r="J43" s="36"/>
    </row>
    <row r="44" spans="1:10" s="1" customFormat="1" ht="60" x14ac:dyDescent="0.2">
      <c r="A44" s="19" t="s">
        <v>305</v>
      </c>
      <c r="B44" s="18" t="str">
        <f>VLOOKUP($A44,Questions!$A$2:$X$333,2,0)</f>
        <v>Do clients have the option to not participate in or postpone an upgrade to a new release?</v>
      </c>
      <c r="C44" s="21" t="s">
        <v>149</v>
      </c>
      <c r="D44" s="35" t="s">
        <v>1790</v>
      </c>
      <c r="E44" s="168" t="str">
        <f>IF($C44="Yes",VLOOKUP($A44,Questions!$A$2:$X$333,17,0)&amp;"",IF($C44="No",VLOOKUP($A44,Questions!$A$2:$X$333,16,0)&amp;"",VLOOKUP($A44,Questions!$A$2:$X$333,15,0)&amp;""))</f>
        <v>Summarize why clients do not have alternative release options.</v>
      </c>
      <c r="F44" s="202" t="str">
        <f>VLOOKUP($A44,'Institution Evaluation'!$A$56:$F$346,6,0)&amp;""</f>
        <v/>
      </c>
      <c r="I44" s="36"/>
      <c r="J44" s="36"/>
    </row>
    <row r="45" spans="1:10" s="1" customFormat="1" ht="60" x14ac:dyDescent="0.2">
      <c r="A45" s="19" t="s">
        <v>308</v>
      </c>
      <c r="B45" s="18" t="str">
        <f>VLOOKUP($A45,Questions!$A$2:$X$333,2,0)</f>
        <v>Do you have a fully implemented solution support strategy that defines how many concurrent versions you support?</v>
      </c>
      <c r="C45" s="21" t="s">
        <v>149</v>
      </c>
      <c r="D45" s="35" t="s">
        <v>1790</v>
      </c>
      <c r="E45" s="168" t="str">
        <f>IF($C45="Yes",VLOOKUP($A45,Questions!$A$2:$X$333,17,0)&amp;"",IF($C45="No",VLOOKUP($A45,Questions!$A$2:$X$333,16,0)&amp;"",VLOOKUP($A45,Questions!$A$2:$X$333,15,0)&amp;""))</f>
        <v>Clarify the lack of support strategy for concurrent versions in your solution.</v>
      </c>
      <c r="F45" s="202" t="str">
        <f>VLOOKUP($A45,'Institution Evaluation'!$A$56:$F$346,6,0)&amp;""</f>
        <v/>
      </c>
      <c r="I45" s="36"/>
      <c r="J45" s="36"/>
    </row>
    <row r="46" spans="1:10" s="1" customFormat="1" ht="60" x14ac:dyDescent="0.2">
      <c r="A46" s="19" t="s">
        <v>310</v>
      </c>
      <c r="B46" s="18" t="str">
        <f>VLOOKUP($A46,Questions!$A$2:$X$333,2,0)</f>
        <v>Do you have a release schedule for product updates?</v>
      </c>
      <c r="C46" s="21" t="s">
        <v>149</v>
      </c>
      <c r="D46" s="35" t="s">
        <v>1790</v>
      </c>
      <c r="E46" s="168" t="str">
        <f>IF($C46="Yes",VLOOKUP($A46,Questions!$A$2:$X$333,17,0)&amp;"",IF($C46="No",VLOOKUP($A46,Questions!$A$2:$X$333,16,0)&amp;"",VLOOKUP($A46,Questions!$A$2:$X$333,15,0)&amp;""))</f>
        <v>State any plans to release a schedule of product updates.</v>
      </c>
      <c r="F46" s="202" t="str">
        <f>VLOOKUP($A46,'Institution Evaluation'!$A$56:$F$346,6,0)&amp;""</f>
        <v/>
      </c>
      <c r="I46" s="36"/>
      <c r="J46" s="36"/>
    </row>
    <row r="47" spans="1:10" s="1" customFormat="1" ht="60" x14ac:dyDescent="0.2">
      <c r="A47" s="19" t="s">
        <v>314</v>
      </c>
      <c r="B47" s="18" t="str">
        <f>VLOOKUP($A47,Questions!$A$2:$X$333,2,0)</f>
        <v>Do you have a technology roadmap, for at least the next two years, for enhancements and bug fixes for the solution being assessed?</v>
      </c>
      <c r="C47" s="21" t="s">
        <v>149</v>
      </c>
      <c r="D47" s="35" t="s">
        <v>1790</v>
      </c>
      <c r="E47" s="168" t="str">
        <f>IF($C47="Yes",VLOOKUP($A47,Questions!$A$2:$X$333,17,0)&amp;"",IF($C47="No",VLOOKUP($A47,Questions!$A$2:$X$333,16,0)&amp;"",VLOOKUP($A47,Questions!$A$2:$X$333,15,0)&amp;""))</f>
        <v>State any plans to release a technology roadmap covering the next two years.</v>
      </c>
      <c r="F47" s="202" t="str">
        <f>VLOOKUP($A47,'Institution Evaluation'!$A$56:$F$346,6,0)&amp;""</f>
        <v/>
      </c>
      <c r="I47" s="36"/>
      <c r="J47" s="36"/>
    </row>
    <row r="48" spans="1:10" s="1" customFormat="1" ht="28.5" x14ac:dyDescent="0.2">
      <c r="A48" s="19" t="s">
        <v>317</v>
      </c>
      <c r="B48" s="18" t="str">
        <f>VLOOKUP($A48,Questions!$A$2:$X$333,2,0)</f>
        <v>Can solution updates be completed without institutional involvement (i.e., technically or organizationally)?</v>
      </c>
      <c r="C48" s="21" t="s">
        <v>40</v>
      </c>
      <c r="D48" s="35"/>
      <c r="E48" s="168" t="str">
        <f>IF($C48="Yes",VLOOKUP($A48,Questions!$A$2:$X$333,17,0)&amp;"",IF($C48="No",VLOOKUP($A48,Questions!$A$2:$X$333,16,0)&amp;"",VLOOKUP($A48,Questions!$A$2:$X$333,15,0)&amp;""))</f>
        <v/>
      </c>
      <c r="F48" s="202" t="str">
        <f>VLOOKUP($A48,'Institution Evaluation'!$A$56:$F$346,6,0)&amp;""</f>
        <v/>
      </c>
      <c r="I48" s="36"/>
      <c r="J48" s="36"/>
    </row>
    <row r="49" spans="1:10" s="1" customFormat="1" ht="42.75" x14ac:dyDescent="0.2">
      <c r="A49" s="19" t="s">
        <v>322</v>
      </c>
      <c r="B49" s="18" t="str">
        <f>VLOOKUP($A49,Questions!$A$2:$X$333,2,0)</f>
        <v>Are upgrades or system changes installed during off-peak hours or in a manner that does not impact the customer?</v>
      </c>
      <c r="C49" s="21" t="s">
        <v>149</v>
      </c>
      <c r="D49" s="318" t="s">
        <v>1785</v>
      </c>
      <c r="E49" s="168" t="str">
        <f>IF($C49="Yes",VLOOKUP($A49,Questions!$A$2:$X$333,17,0)&amp;"",IF($C49="No",VLOOKUP($A49,Questions!$A$2:$X$333,16,0)&amp;"",VLOOKUP($A49,Questions!$A$2:$X$333,15,0)&amp;""))</f>
        <v>Decribe plans to minimize the impact of downtime based on predefined off-peak hours.</v>
      </c>
      <c r="F49" s="202" t="str">
        <f>VLOOKUP($A49,'Institution Evaluation'!$A$56:$F$346,6,0)&amp;""</f>
        <v/>
      </c>
      <c r="I49" s="36"/>
      <c r="J49" s="36"/>
    </row>
    <row r="50" spans="1:10" s="1" customFormat="1" ht="38.25" customHeight="1" x14ac:dyDescent="0.2">
      <c r="A50" s="19" t="s">
        <v>326</v>
      </c>
      <c r="B50" s="18" t="str">
        <f>VLOOKUP($A50,Questions!$A$2:$X$333,2,0)</f>
        <v>Do procedures exist to provide that emergency changes are documented and authorized (including after-the-fact approval)?</v>
      </c>
      <c r="C50" s="21" t="s">
        <v>40</v>
      </c>
      <c r="D50" s="318" t="s">
        <v>1786</v>
      </c>
      <c r="E50" s="168" t="str">
        <f>IF($C50="Yes",VLOOKUP($A50,Questions!$A$2:$X$333,17,0)&amp;"",IF($C50="No",VLOOKUP($A50,Questions!$A$2:$X$333,16,0)&amp;"",VLOOKUP($A50,Questions!$A$2:$X$333,15,0)&amp;""))</f>
        <v>Summarize implemented procedures ensuring that emergency changes are documented and authorized.</v>
      </c>
      <c r="F50" s="202" t="str">
        <f>VLOOKUP($A50,'Institution Evaluation'!$A$56:$F$346,6,0)&amp;""</f>
        <v/>
      </c>
      <c r="I50" s="36"/>
      <c r="J50" s="36"/>
    </row>
    <row r="51" spans="1:10" s="1" customFormat="1" ht="60.75" thickBot="1" x14ac:dyDescent="0.25">
      <c r="A51" s="19" t="s">
        <v>329</v>
      </c>
      <c r="B51" s="18" t="str">
        <f>VLOOKUP($A51,Questions!$A$2:$X$333,2,0)</f>
        <v>Do you have a systems management and configuration strategy that encompasses servers, appliances, cloud services, applications, and mobile devices (company and employee owned)?</v>
      </c>
      <c r="C51" s="21" t="s">
        <v>149</v>
      </c>
      <c r="D51" s="35" t="s">
        <v>1790</v>
      </c>
      <c r="E51" s="168" t="str">
        <f>IF($C51="Yes",VLOOKUP($A51,Questions!$A$2:$X$333,17,0)&amp;"",IF($C51="No",VLOOKUP($A51,Questions!$A$2:$X$333,16,0)&amp;"",VLOOKUP($A51,Questions!$A$2:$X$333,15,0)&amp;""))</f>
        <v>Describe your intent to implement a systems management and configuration strategy.</v>
      </c>
      <c r="F51" s="202" t="str">
        <f>VLOOKUP($A51,'Institution Evaluation'!$A$56:$F$346,6,0)&amp;""</f>
        <v/>
      </c>
      <c r="G51" s="239" t="s">
        <v>1505</v>
      </c>
      <c r="I51" s="36"/>
      <c r="J51" s="36"/>
    </row>
    <row r="52" spans="1:10" s="1" customFormat="1" ht="37.35" customHeight="1" thickBot="1" x14ac:dyDescent="0.25">
      <c r="A52" s="64" t="str">
        <f>VLOOKUP(LEFT($A53,4),'Auto Responses'!$N$4:$O$38,2,0)&amp;""</f>
        <v xml:space="preserve"> Policies, Processes, and Procedures</v>
      </c>
      <c r="B52" s="23"/>
      <c r="C52" s="13" t="s">
        <v>1555</v>
      </c>
      <c r="D52" s="13" t="s">
        <v>72</v>
      </c>
      <c r="E52" s="32" t="s">
        <v>883</v>
      </c>
      <c r="F52" s="188" t="s">
        <v>884</v>
      </c>
      <c r="I52" s="36"/>
      <c r="J52" s="36"/>
    </row>
    <row r="53" spans="1:10" s="1" customFormat="1" ht="60" x14ac:dyDescent="0.2">
      <c r="A53" s="19" t="s">
        <v>514</v>
      </c>
      <c r="B53" s="18" t="str">
        <f>VLOOKUP($A53,Questions!$A$2:$X$333,2,0)</f>
        <v>Do you have a documented patch management process?*</v>
      </c>
      <c r="C53" s="21" t="s">
        <v>149</v>
      </c>
      <c r="D53" s="35" t="s">
        <v>1790</v>
      </c>
      <c r="E53" s="168" t="str">
        <f>IF($C53="Yes",VLOOKUP($A53,Questions!$A$2:$X$333,17,0)&amp;"",IF($C53="No",VLOOKUP($A53,Questions!$A$2:$X$333,16,0)&amp;"",VLOOKUP($A53,Questions!$A$2:$X$333,15,0)&amp;""))</f>
        <v/>
      </c>
      <c r="F53" s="202" t="str">
        <f>VLOOKUP($A53,'Institution Evaluation'!$A$56:$F$346,6,0)&amp;""</f>
        <v/>
      </c>
      <c r="I53" s="36"/>
      <c r="J53" s="36"/>
    </row>
    <row r="54" spans="1:10" s="1" customFormat="1" ht="85.5" x14ac:dyDescent="0.2">
      <c r="A54" s="19" t="s">
        <v>515</v>
      </c>
      <c r="B54" s="18" t="str">
        <f>VLOOKUP($A54,Questions!$A$2:$X$333,2,0)</f>
        <v>Can your organization comply with institutional policies on privacy and data protection with regard to users of institutional systems, if required?*</v>
      </c>
      <c r="C54" s="21" t="s">
        <v>40</v>
      </c>
      <c r="D54" s="318" t="s">
        <v>1819</v>
      </c>
      <c r="E54" s="168" t="str">
        <f>IF($C54="Yes",VLOOKUP($A54,Questions!$A$2:$X$333,17,0)&amp;"",IF($C54="No",VLOOKUP($A54,Questions!$A$2:$X$333,16,0)&amp;"",VLOOKUP($A54,Questions!$A$2:$X$333,15,0)&amp;""))</f>
        <v>State that you have reviewed the institution's IT policies with regards to user privacy and data protection.</v>
      </c>
      <c r="F54" s="202" t="str">
        <f>VLOOKUP($A54,'Institution Evaluation'!$A$56:$F$346,6,0)&amp;""</f>
        <v/>
      </c>
      <c r="I54" s="36"/>
      <c r="J54" s="36"/>
    </row>
    <row r="55" spans="1:10" s="1" customFormat="1" ht="28.5" x14ac:dyDescent="0.2">
      <c r="A55" s="19" t="s">
        <v>517</v>
      </c>
      <c r="B55" s="18" t="str">
        <f>VLOOKUP($A55,Questions!$A$2:$X$333,2,0)</f>
        <v>Is your company subject to the institution's geographic region's laws and regulations?*</v>
      </c>
      <c r="C55" s="21" t="s">
        <v>40</v>
      </c>
      <c r="D55" s="318" t="s">
        <v>1787</v>
      </c>
      <c r="E55" s="168" t="str">
        <f>IF($C55="Yes",VLOOKUP($A55,Questions!$A$2:$X$333,17,0)&amp;"",IF($C55="No",VLOOKUP($A55,Questions!$A$2:$X$333,16,0)&amp;"",VLOOKUP($A55,Questions!$A$2:$X$333,15,0)&amp;""))</f>
        <v>State the country that governs and regulates your company.</v>
      </c>
      <c r="F55" s="202" t="str">
        <f>VLOOKUP($A55,'Institution Evaluation'!$A$56:$F$346,6,0)&amp;""</f>
        <v/>
      </c>
      <c r="I55" s="36"/>
      <c r="J55" s="36"/>
    </row>
    <row r="56" spans="1:10" s="1" customFormat="1" ht="60" x14ac:dyDescent="0.2">
      <c r="A56" s="19" t="s">
        <v>521</v>
      </c>
      <c r="B56" s="18" t="str">
        <f>VLOOKUP($A56,Questions!$A$2:$X$333,2,0)</f>
        <v>Can you accommodate encryption requirements using open standards?</v>
      </c>
      <c r="C56" s="21" t="s">
        <v>149</v>
      </c>
      <c r="D56" s="35" t="s">
        <v>1790</v>
      </c>
      <c r="E56" s="168" t="str">
        <f>IF($C56="Yes",VLOOKUP($A56,Questions!$A$2:$X$333,17,0)&amp;"",IF($C56="No",VLOOKUP($A56,Questions!$A$2:$X$333,16,0)&amp;"",VLOOKUP($A56,Questions!$A$2:$X$333,15,0)&amp;""))</f>
        <v/>
      </c>
      <c r="F56" s="202" t="str">
        <f>VLOOKUP($A56,'Institution Evaluation'!$A$56:$F$346,6,0)&amp;""</f>
        <v/>
      </c>
      <c r="I56" s="36"/>
      <c r="J56" s="36"/>
    </row>
    <row r="57" spans="1:10" s="1" customFormat="1" ht="60" x14ac:dyDescent="0.2">
      <c r="A57" s="19" t="s">
        <v>525</v>
      </c>
      <c r="B57" s="18" t="str">
        <f>VLOOKUP($A57,Questions!$A$2:$X$333,2,0)</f>
        <v>Do you have a documented systems development life cycle (SDLC)?</v>
      </c>
      <c r="C57" s="21" t="s">
        <v>149</v>
      </c>
      <c r="D57" s="35" t="s">
        <v>1790</v>
      </c>
      <c r="E57" s="168" t="str">
        <f>IF($C57="Yes",VLOOKUP($A57,Questions!$A$2:$X$333,17,0)&amp;"",IF($C57="No",VLOOKUP($A57,Questions!$A$2:$X$333,16,0)&amp;"",VLOOKUP($A57,Questions!$A$2:$X$333,15,0)&amp;""))</f>
        <v>State any plans to implement an SDLC.</v>
      </c>
      <c r="F57" s="202" t="str">
        <f>VLOOKUP($A57,'Institution Evaluation'!$A$56:$F$346,6,0)&amp;""</f>
        <v/>
      </c>
      <c r="I57" s="36"/>
      <c r="J57" s="36"/>
    </row>
    <row r="58" spans="1:10" s="1" customFormat="1" ht="75" x14ac:dyDescent="0.2">
      <c r="A58" s="19" t="s">
        <v>529</v>
      </c>
      <c r="B58" s="18" t="str">
        <f>VLOOKUP($A58,Questions!$A$2:$X$333,2,0)</f>
        <v>Do you perform background screenings or multi-state background checks on all employees prior to their first day of work?</v>
      </c>
      <c r="C58" s="21" t="s">
        <v>40</v>
      </c>
      <c r="D58" s="35" t="s">
        <v>1820</v>
      </c>
      <c r="E58" s="168" t="str">
        <f>IF($C58="Yes",VLOOKUP($A58,Questions!$A$2:$X$333,17,0)&amp;"",IF($C58="No",VLOOKUP($A58,Questions!$A$2:$X$333,16,0)&amp;"",VLOOKUP($A58,Questions!$A$2:$X$333,15,0)&amp;""))</f>
        <v>Summarize your background check practices.</v>
      </c>
      <c r="F58" s="202" t="str">
        <f>VLOOKUP($A58,'Institution Evaluation'!$A$56:$F$346,6,0)&amp;""</f>
        <v/>
      </c>
      <c r="I58" s="36"/>
      <c r="J58" s="36"/>
    </row>
    <row r="59" spans="1:10" s="1" customFormat="1" ht="57" x14ac:dyDescent="0.2">
      <c r="A59" s="19" t="s">
        <v>532</v>
      </c>
      <c r="B59" s="18" t="str">
        <f>VLOOKUP($A59,Questions!$A$2:$X$333,2,0)</f>
        <v>Do you require new employees to fill out agreements and review policies?</v>
      </c>
      <c r="C59" s="21" t="s">
        <v>40</v>
      </c>
      <c r="D59" s="318" t="s">
        <v>1791</v>
      </c>
      <c r="E59" s="168" t="str">
        <f>IF($C59="Yes",VLOOKUP($A59,Questions!$A$2:$X$333,17,0)&amp;"",IF($C59="No",VLOOKUP($A59,Questions!$A$2:$X$333,16,0)&amp;"",VLOOKUP($A59,Questions!$A$2:$X$333,15,0)&amp;""))</f>
        <v>Summarize the required agreements and reviewed policies.</v>
      </c>
      <c r="F59" s="202" t="str">
        <f>VLOOKUP($A59,'Institution Evaluation'!$A$56:$F$346,6,0)&amp;""</f>
        <v/>
      </c>
      <c r="I59" s="36"/>
      <c r="J59" s="36"/>
    </row>
    <row r="60" spans="1:10" s="1" customFormat="1" ht="57" x14ac:dyDescent="0.2">
      <c r="A60" s="19" t="s">
        <v>534</v>
      </c>
      <c r="B60" s="18" t="str">
        <f>VLOOKUP($A60,Questions!$A$2:$X$333,2,0)</f>
        <v>Do you have a documented information security policy?</v>
      </c>
      <c r="C60" s="21" t="s">
        <v>40</v>
      </c>
      <c r="D60" s="318" t="s">
        <v>1791</v>
      </c>
      <c r="E60" s="168" t="str">
        <f>IF($C60="Yes",VLOOKUP($A60,Questions!$A$2:$X$333,17,0)&amp;"",IF($C60="No",VLOOKUP($A60,Questions!$A$2:$X$333,16,0)&amp;"",VLOOKUP($A60,Questions!$A$2:$X$333,15,0)&amp;""))</f>
        <v>Provide a reference to your information security policy or submit documentation with this fully populated HECVAT.</v>
      </c>
      <c r="F60" s="202" t="str">
        <f>VLOOKUP($A60,'Institution Evaluation'!$A$56:$F$346,6,0)&amp;""</f>
        <v/>
      </c>
      <c r="I60" s="36"/>
      <c r="J60" s="36"/>
    </row>
    <row r="61" spans="1:10" s="1" customFormat="1" ht="60" x14ac:dyDescent="0.2">
      <c r="A61" s="19" t="s">
        <v>538</v>
      </c>
      <c r="B61" s="18" t="str">
        <f>VLOOKUP($A61,Questions!$A$2:$X$333,2,0)</f>
        <v>Are information security principles designed into the product lifecycle?</v>
      </c>
      <c r="C61" s="21" t="s">
        <v>149</v>
      </c>
      <c r="D61" s="35" t="s">
        <v>1790</v>
      </c>
      <c r="E61" s="168" t="str">
        <f>IF($C61="Yes",VLOOKUP($A61,Questions!$A$2:$X$333,17,0)&amp;"",IF($C61="No",VLOOKUP($A61,Questions!$A$2:$X$333,16,0)&amp;"",VLOOKUP($A61,Questions!$A$2:$X$333,15,0)&amp;""))</f>
        <v>State why security principles are not designed into the product lifecycle.</v>
      </c>
      <c r="F61" s="202" t="str">
        <f>VLOOKUP($A61,'Institution Evaluation'!$A$56:$F$346,6,0)&amp;""</f>
        <v/>
      </c>
      <c r="I61" s="36"/>
      <c r="J61" s="36"/>
    </row>
    <row r="62" spans="1:10" s="1" customFormat="1" ht="42.75" x14ac:dyDescent="0.2">
      <c r="A62" s="19" t="s">
        <v>543</v>
      </c>
      <c r="B62" s="18" t="str">
        <f>VLOOKUP($A62,Questions!$A$2:$X$333,2,0)</f>
        <v>Will you comply with applicable breach notification laws?</v>
      </c>
      <c r="C62" s="21" t="s">
        <v>40</v>
      </c>
      <c r="D62" s="321"/>
      <c r="E62" s="168" t="str">
        <f>IF($C62="Yes",VLOOKUP($A62,Questions!$A$2:$X$333,17,0)&amp;"",IF($C62="No",VLOOKUP($A62,Questions!$A$2:$X$333,16,0)&amp;"",VLOOKUP($A62,Questions!$A$2:$X$333,15,0)&amp;""))</f>
        <v>State how quickly the institution will be notified of a data breach or security incident.</v>
      </c>
      <c r="F62" s="202" t="str">
        <f>VLOOKUP($A62,'Institution Evaluation'!$A$56:$F$346,6,0)&amp;""</f>
        <v/>
      </c>
      <c r="I62" s="36"/>
      <c r="J62" s="36"/>
    </row>
    <row r="63" spans="1:10" s="1" customFormat="1" ht="57" x14ac:dyDescent="0.2">
      <c r="A63" s="19" t="s">
        <v>547</v>
      </c>
      <c r="B63" s="18" t="str">
        <f>VLOOKUP($A63,Questions!$A$2:$X$333,2,0)</f>
        <v>Do you have an information security awareness program?</v>
      </c>
      <c r="C63" s="21" t="s">
        <v>40</v>
      </c>
      <c r="D63" s="318" t="s">
        <v>1791</v>
      </c>
      <c r="E63" s="168" t="str">
        <f>IF($C63="Yes",VLOOKUP($A63,Questions!$A$2:$X$333,17,0)&amp;"",IF($C63="No",VLOOKUP($A63,Questions!$A$2:$X$333,16,0)&amp;"",VLOOKUP($A63,Questions!$A$2:$X$333,15,0)&amp;""))</f>
        <v>Summarize your information security awareness program.</v>
      </c>
      <c r="F63" s="202" t="str">
        <f>VLOOKUP($A63,'Institution Evaluation'!$A$56:$F$346,6,0)&amp;""</f>
        <v/>
      </c>
      <c r="I63" s="36"/>
      <c r="J63" s="36"/>
    </row>
    <row r="64" spans="1:10" s="1" customFormat="1" ht="57" x14ac:dyDescent="0.2">
      <c r="A64" s="19" t="s">
        <v>552</v>
      </c>
      <c r="B64" s="18" t="str">
        <f>VLOOKUP($A64,Questions!$A$2:$X$333,2,0)</f>
        <v>Is security awareness training mandatory for all employees?</v>
      </c>
      <c r="C64" s="21" t="s">
        <v>40</v>
      </c>
      <c r="D64" s="318" t="s">
        <v>1791</v>
      </c>
      <c r="E64" s="168" t="str">
        <f>IF($C64="Yes",VLOOKUP($A64,Questions!$A$2:$X$333,17,0)&amp;"",IF($C64="No",VLOOKUP($A64,Questions!$A$2:$X$333,16,0)&amp;"",VLOOKUP($A64,Questions!$A$2:$X$333,15,0)&amp;""))</f>
        <v>Summarize your security awareness training content and state how frequently employees are required to undergo security awareness training.</v>
      </c>
      <c r="F64" s="202" t="str">
        <f>VLOOKUP($A64,'Institution Evaluation'!$A$56:$F$346,6,0)&amp;""</f>
        <v/>
      </c>
      <c r="I64" s="36"/>
      <c r="J64" s="36"/>
    </row>
    <row r="65" spans="1:10" s="1" customFormat="1" ht="57" x14ac:dyDescent="0.2">
      <c r="A65" s="19" t="s">
        <v>556</v>
      </c>
      <c r="B65" s="18" t="str">
        <f>VLOOKUP($A65,Questions!$A$2:$X$333,2,0)</f>
        <v>Do you have process and procedure(s) documented, and currently followed, that require a review and update of the access list(s) for privileged accounts?</v>
      </c>
      <c r="C65" s="21" t="s">
        <v>40</v>
      </c>
      <c r="D65" s="318" t="s">
        <v>1791</v>
      </c>
      <c r="E65" s="168" t="str">
        <f>IF($C65="Yes",VLOOKUP($A65,Questions!$A$2:$X$333,17,0)&amp;"",IF($C65="No",VLOOKUP($A65,Questions!$A$2:$X$333,16,0)&amp;"",VLOOKUP($A65,Questions!$A$2:$X$333,15,0)&amp;""))</f>
        <v>Provide a brief summary and the implement review interval.</v>
      </c>
      <c r="F65" s="202" t="str">
        <f>VLOOKUP($A65,'Institution Evaluation'!$A$56:$F$346,6,0)&amp;""</f>
        <v/>
      </c>
      <c r="I65" s="36"/>
      <c r="J65" s="36"/>
    </row>
    <row r="66" spans="1:10" s="1" customFormat="1" ht="60" x14ac:dyDescent="0.2">
      <c r="A66" s="19" t="s">
        <v>560</v>
      </c>
      <c r="B66" s="18" t="str">
        <f>VLOOKUP($A66,Questions!$A$2:$X$333,2,0)</f>
        <v>Do you have documented, and currently implemented, internal audit processes and procedures?</v>
      </c>
      <c r="C66" s="21" t="s">
        <v>149</v>
      </c>
      <c r="D66" s="35" t="s">
        <v>1790</v>
      </c>
      <c r="E66" s="168" t="str">
        <f>IF($C66="Yes",VLOOKUP($A66,Questions!$A$2:$X$333,17,0)&amp;"",IF($C66="No",VLOOKUP($A66,Questions!$A$2:$X$333,16,0)&amp;"",VLOOKUP($A66,Questions!$A$2:$X$333,15,0)&amp;""))</f>
        <v>State plans to document and implement internal audit process and procedure in your environment.</v>
      </c>
      <c r="F66" s="202" t="str">
        <f>VLOOKUP($A66,'Institution Evaluation'!$A$56:$F$346,6,0)&amp;""</f>
        <v/>
      </c>
      <c r="I66" s="36"/>
      <c r="J66" s="36"/>
    </row>
    <row r="67" spans="1:10" s="1" customFormat="1" ht="60" x14ac:dyDescent="0.2">
      <c r="A67" s="19" t="s">
        <v>565</v>
      </c>
      <c r="B67" s="18" t="str">
        <f>VLOOKUP($A67,Questions!$A$2:$X$333,2,0)</f>
        <v>Does your organization have physical security controls and policies in place?</v>
      </c>
      <c r="C67" s="21" t="s">
        <v>149</v>
      </c>
      <c r="D67" s="35" t="s">
        <v>1790</v>
      </c>
      <c r="E67" s="168" t="str">
        <f>IF($C67="Yes",VLOOKUP($A67,Questions!$A$2:$X$333,17,0)&amp;"",IF($C67="No",VLOOKUP($A67,Questions!$A$2:$X$333,16,0)&amp;"",IF($C67="N/A",VLOOKUP($A67,Questions!$A$2:$X$333,18,0)&amp;"",VLOOKUP($A67,Questions!$A$2:$X$333,15,0)&amp;"")))</f>
        <v>Describe your intent to implement physical security controls and policies.</v>
      </c>
      <c r="F67" s="202" t="str">
        <f>VLOOKUP($A67,'Institution Evaluation'!$A$56:$F$346,6,0)&amp;""</f>
        <v/>
      </c>
      <c r="G67" s="239" t="s">
        <v>1505</v>
      </c>
      <c r="H67" s="36"/>
    </row>
    <row r="68" spans="1:10" s="172" customFormat="1" ht="39" customHeight="1" x14ac:dyDescent="0.2">
      <c r="A68" s="268" t="s">
        <v>1565</v>
      </c>
      <c r="B68" s="254"/>
      <c r="C68" s="255"/>
      <c r="D68" s="322"/>
      <c r="E68" s="257"/>
      <c r="F68" s="258"/>
      <c r="G68" s="259"/>
      <c r="H68" s="173"/>
    </row>
    <row r="69" spans="1:10" s="1" customFormat="1" ht="15" customHeight="1" x14ac:dyDescent="0.2">
      <c r="A69" s="267"/>
      <c r="C69" s="8"/>
      <c r="D69" s="9"/>
      <c r="E69" s="10"/>
      <c r="I69" s="36"/>
      <c r="J69" s="36"/>
    </row>
    <row r="70" spans="1:10" s="1" customFormat="1" ht="15" hidden="1" customHeight="1" x14ac:dyDescent="0.2">
      <c r="A70"/>
      <c r="C70" s="8"/>
      <c r="D70" s="9"/>
      <c r="E70" s="10"/>
      <c r="I70" s="36"/>
      <c r="J70" s="36"/>
    </row>
    <row r="71" spans="1:10" ht="57" hidden="1" customHeight="1" x14ac:dyDescent="0.2">
      <c r="A71" s="19" t="e">
        <f>#REF!</f>
        <v>#REF!</v>
      </c>
    </row>
    <row r="72" spans="1:10" ht="42.75" hidden="1" customHeight="1" x14ac:dyDescent="0.2">
      <c r="A72" s="19" t="e">
        <f>#REF!</f>
        <v>#REF!</v>
      </c>
    </row>
    <row r="73" spans="1:10" ht="15" hidden="1" customHeight="1" x14ac:dyDescent="0.2">
      <c r="A73" s="19" t="e">
        <f>#REF!</f>
        <v>#REF!</v>
      </c>
    </row>
    <row r="74" spans="1:10" ht="15" hidden="1" customHeight="1" x14ac:dyDescent="0.2">
      <c r="A74" s="19" t="e">
        <f>#REF!</f>
        <v>#REF!</v>
      </c>
    </row>
    <row r="75" spans="1:10" ht="15" hidden="1" customHeight="1" x14ac:dyDescent="0.2">
      <c r="A75" s="19" t="e">
        <f>#REF!</f>
        <v>#REF!</v>
      </c>
    </row>
    <row r="76" spans="1:10" ht="15" hidden="1" customHeight="1" x14ac:dyDescent="0.2">
      <c r="A76" s="19" t="e">
        <f>#REF!</f>
        <v>#REF!</v>
      </c>
    </row>
    <row r="77" spans="1:10" ht="15" hidden="1" customHeight="1" x14ac:dyDescent="0.2">
      <c r="A77" s="19" t="e">
        <f>#REF!</f>
        <v>#REF!</v>
      </c>
    </row>
    <row r="78" spans="1:10" ht="15" hidden="1" customHeight="1" x14ac:dyDescent="0.2"/>
    <row r="79" spans="1:10" ht="15" hidden="1" customHeight="1" x14ac:dyDescent="0.2"/>
    <row r="80" spans="1:1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E21:F67 C21 D66:D67 D38:D48 D51 D53 D56:D58 D61 D21:D34"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BB38F01-8950-47A1-A9D6-AA20F3133A43}">
          <x14:formula1>
            <xm:f>'Auto Responses'!$J$3:$J$4</xm:f>
          </x14:formula1>
          <xm:sqref>C22:C28 C36 C38:C51 C30:C34 C53:C68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1428</v>
      </c>
      <c r="B2" s="169"/>
      <c r="C2" s="170"/>
      <c r="D2" s="309"/>
      <c r="E2" s="171"/>
      <c r="F2" s="171" t="str">
        <f>'Auto Responses'!$A$36</f>
        <v>Version 4.1.2</v>
      </c>
      <c r="J2" s="1"/>
    </row>
    <row r="3" spans="1:10" s="1" customFormat="1" ht="29.1" customHeight="1" x14ac:dyDescent="0.2">
      <c r="A3" s="38" t="s">
        <v>975</v>
      </c>
      <c r="B3" s="39"/>
      <c r="C3" s="67" t="str">
        <f>'START HERE'!$C$3</f>
        <v>Oct 17 2025</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16"/>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16"/>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16"/>
      <c r="I7" s="36"/>
    </row>
    <row r="8" spans="1:10" s="1" customFormat="1" ht="19.5" customHeight="1" x14ac:dyDescent="0.2">
      <c r="A8" s="43" t="str">
        <f>HLOOKUP($A$4,'Auto Responses'!$D$2:$D$8,5,0)&amp;""</f>
        <v>4. DO NOT complete any fields in the "Evaluation" sheets or the "Analyst Notes" column.</v>
      </c>
      <c r="B8" s="16"/>
      <c r="C8" s="68"/>
      <c r="D8" s="311"/>
      <c r="E8" s="16"/>
      <c r="F8" s="16"/>
      <c r="I8" s="36"/>
    </row>
    <row r="9" spans="1:10" s="1" customFormat="1" ht="19.5" customHeight="1" x14ac:dyDescent="0.2">
      <c r="A9" s="43" t="str">
        <f>HLOOKUP($A$4,'Auto Responses'!$D$2:$D$8,6,0)&amp;""</f>
        <v>5. Return the completed file to institutions.</v>
      </c>
      <c r="B9" s="16"/>
      <c r="C9" s="68"/>
      <c r="D9" s="311"/>
      <c r="E9" s="16"/>
      <c r="F9" s="16"/>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16"/>
      <c r="I10" s="36"/>
    </row>
    <row r="11" spans="1:10" s="1" customFormat="1" ht="19.5" customHeight="1" x14ac:dyDescent="0.2">
      <c r="A11" s="247" t="str">
        <f>HLOOKUP($A$4,'Auto Responses'!$D$2:$D$9,8,0)&amp;""</f>
        <v>For full instructions, please visit educause.edu/HECVAT</v>
      </c>
      <c r="B11" s="16"/>
      <c r="C11" s="68"/>
      <c r="D11" s="311"/>
      <c r="E11" s="16"/>
      <c r="F11" s="16"/>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0"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Bloomington, Indiana</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38.25" customHeight="1" thickBot="1" x14ac:dyDescent="0.25">
      <c r="A18" s="19" t="s">
        <v>48</v>
      </c>
      <c r="B18" s="18" t="str">
        <f>VLOOKUP($A18,Questions!$A$2:$X$333,2,0)</f>
        <v>Are you offering a cloud-based product?</v>
      </c>
      <c r="C18" s="73" t="str">
        <f>VLOOKUP($A18,'START HERE'!$A$23:$F$36,3,0)&amp;""</f>
        <v>Yes</v>
      </c>
      <c r="D18" s="313" t="str">
        <f>VLOOKUP($A18,'START HERE'!$A$23:$F$36,4,0)&amp;""</f>
        <v>See Qualtrics HECVAT 2025 for details regarding Qualtrics documentation: https://bcsse.iu.edu/doc/bcsse/Qualtrics%20HECVAT%202025.xlsx</v>
      </c>
      <c r="E18" s="168" t="str">
        <f>IF($C18="Yes",VLOOKUP($A18,Questions!$A$2:$X$333,17,0)&amp;"",IF($C18="No",VLOOKUP($A18,Questions!$A$2:$X$333,16,0)&amp;"",VLOOKUP($A18,Questions!$A$2:$X$333,15,0)&amp;""))</f>
        <v>DO complete the Product and Infrastructure worksheets</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Authentication, Authorization, and Account Management</v>
      </c>
      <c r="B19" s="23"/>
      <c r="C19" s="13" t="s">
        <v>1555</v>
      </c>
      <c r="D19" s="13" t="s">
        <v>72</v>
      </c>
      <c r="E19" s="32" t="s">
        <v>883</v>
      </c>
      <c r="F19" s="188" t="s">
        <v>884</v>
      </c>
      <c r="I19" s="36"/>
      <c r="J19" s="36"/>
    </row>
    <row r="20" spans="1:10" s="1" customFormat="1" ht="28.5" x14ac:dyDescent="0.2">
      <c r="A20" s="19" t="s">
        <v>219</v>
      </c>
      <c r="B20" s="18" t="str">
        <f>VLOOKUP($A20,Questions!$A$2:$X$333,2,0)</f>
        <v>Does your solution support single sign-on (SSO) protocols for user and administrator authentication?*</v>
      </c>
      <c r="C20" s="21" t="s">
        <v>149</v>
      </c>
      <c r="D20" s="314"/>
      <c r="E20" s="168" t="str">
        <f>IF($C$18="No",'Auto Responses'!$A$3,IF($C20="Yes",VLOOKUP($A20,Questions!$A$2:$X$333,17,0)&amp;"",IF($C20="No",VLOOKUP($A20,Questions!$A$2:$X$333,16,0)&amp;"",VLOOKUP($A20,Questions!$A$2:$X$333,15,0)&amp;"")))</f>
        <v>Describe plans to support strong authentication practices.</v>
      </c>
      <c r="F20" s="202" t="str">
        <f>VLOOKUP($A20,'Institution Evaluation'!$A$56:$F$346,6,0)&amp;""</f>
        <v/>
      </c>
      <c r="I20" s="36"/>
      <c r="J20" s="36"/>
    </row>
    <row r="21" spans="1:10" s="1" customFormat="1" ht="57" x14ac:dyDescent="0.2">
      <c r="A21" s="19" t="s">
        <v>224</v>
      </c>
      <c r="B21" s="18" t="str">
        <f>VLOOKUP($A21,Questions!$A$2:$X$333,2,0)</f>
        <v>For customers not using SSO, does your solution support local authentication protocols for user and administrator authentication?*</v>
      </c>
      <c r="C21" s="356" t="s">
        <v>40</v>
      </c>
      <c r="D21" s="357" t="s">
        <v>1792</v>
      </c>
      <c r="E21" s="168" t="str">
        <f>IF($C$18="No",'Auto Responses'!$A$3,IF($C21="Yes",VLOOKUP($A21,Questions!$A$2:$X$333,17,0)&amp;"",IF($C21="No",VLOOKUP($A21,Questions!$A$2:$X$333,16,0)&amp;"",VLOOKUP($A21,Questions!$A$2:$X$333,15,0)&amp;"")))</f>
        <v>Provide a detailed description of your local authentication mode practices.</v>
      </c>
      <c r="F21" s="202" t="str">
        <f>VLOOKUP($A21,'Institution Evaluation'!$A$56:$F$346,6,0)&amp;""</f>
        <v/>
      </c>
      <c r="I21" s="36"/>
      <c r="J21" s="36"/>
    </row>
    <row r="22" spans="1:10" s="1" customFormat="1" ht="57" x14ac:dyDescent="0.2">
      <c r="A22" s="19" t="s">
        <v>228</v>
      </c>
      <c r="B22" s="18" t="str">
        <f>VLOOKUP($A22,Questions!$A$2:$X$333,2,0)</f>
        <v>For customers not using SSO, can you enforce password/passphrase complexity requirements (provided by the institution)?*</v>
      </c>
      <c r="C22" s="356" t="s">
        <v>40</v>
      </c>
      <c r="D22" s="357" t="s">
        <v>1792</v>
      </c>
      <c r="E22" s="168" t="str">
        <f>IF($C$18="No",'Auto Responses'!$A$3,IF($C22="Yes",VLOOKUP($A22,Questions!$A$2:$X$333,17,0)&amp;"",IF($C22="No",VLOOKUP($A22,Questions!$A$2:$X$333,16,0)&amp;"",VLOOKUP($A22,Questions!$A$2:$X$333,15,0)&amp;"")))</f>
        <v>Describe how password/passphrase complexity requirements are implemented in the product.</v>
      </c>
      <c r="F22" s="202" t="str">
        <f>VLOOKUP($A22,'Institution Evaluation'!$A$56:$F$346,6,0)&amp;""</f>
        <v/>
      </c>
      <c r="I22" s="36"/>
      <c r="J22" s="36"/>
    </row>
    <row r="23" spans="1:10" s="1" customFormat="1" ht="57" x14ac:dyDescent="0.2">
      <c r="A23" s="19" t="s">
        <v>229</v>
      </c>
      <c r="B23" s="18" t="str">
        <f>VLOOKUP($A23,Questions!$A$2:$X$333,2,0)</f>
        <v>For customers not using SSO, does the system have password complexity or length limitations and/or restrictions?*</v>
      </c>
      <c r="C23" s="356" t="s">
        <v>40</v>
      </c>
      <c r="D23" s="357" t="s">
        <v>1792</v>
      </c>
      <c r="E23" s="168" t="str">
        <f>IF($C$18="No",'Auto Responses'!$A$3,IF($C23="Yes",VLOOKUP($A23,Questions!$A$2:$X$333,17,0)&amp;"",IF($C23="No",VLOOKUP($A23,Questions!$A$2:$X$333,16,0)&amp;"",VLOOKUP($A23,Questions!$A$2:$X$333,15,0)&amp;"")))</f>
        <v>Describe these limitations and/or restrictions and state what lengths and complexities are supported.</v>
      </c>
      <c r="F23" s="202" t="str">
        <f>VLOOKUP($A23,'Institution Evaluation'!$A$56:$F$346,6,0)&amp;""</f>
        <v/>
      </c>
      <c r="I23" s="36"/>
      <c r="J23" s="36"/>
    </row>
    <row r="24" spans="1:10" s="1" customFormat="1" ht="57" x14ac:dyDescent="0.2">
      <c r="A24" s="19" t="s">
        <v>233</v>
      </c>
      <c r="B24" s="18" t="str">
        <f>VLOOKUP($A24,Questions!$A$2:$X$333,2,0)</f>
        <v>For customers not using SSO, do you have documented password/passphrase reset procedures that are currently implemented in the system and/or customer support?*</v>
      </c>
      <c r="C24" s="356" t="s">
        <v>40</v>
      </c>
      <c r="D24" s="357" t="s">
        <v>1792</v>
      </c>
      <c r="E24" s="168" t="str">
        <f>IF($C$18="No",'Auto Responses'!$A$3,IF($C24="Yes",VLOOKUP($A24,Questions!$A$2:$X$333,17,0)&amp;"",IF($C24="No",VLOOKUP($A24,Questions!$A$2:$X$333,16,0)&amp;"",VLOOKUP($A24,Questions!$A$2:$X$333,15,0)&amp;"")))</f>
        <v>Describe your documented password/passphrase reset procedures that are currently implemented in the system and/or customer support.</v>
      </c>
      <c r="F24" s="202" t="str">
        <f>VLOOKUP($A24,'Institution Evaluation'!$A$56:$F$346,6,0)&amp;""</f>
        <v/>
      </c>
      <c r="H24" s="173"/>
      <c r="I24" s="36"/>
      <c r="J24" s="36"/>
    </row>
    <row r="25" spans="1:10" s="1" customFormat="1" ht="42.75" x14ac:dyDescent="0.2">
      <c r="A25" s="19" t="s">
        <v>236</v>
      </c>
      <c r="B25" s="18" t="str">
        <f>VLOOKUP($A25,Questions!$A$2:$X$333,2,0)</f>
        <v>Does your organization participate in InCommon or another eduGAIN-affiliated trust federation?*</v>
      </c>
      <c r="C25" s="21" t="s">
        <v>149</v>
      </c>
      <c r="D25" s="314"/>
      <c r="E25" s="168" t="str">
        <f>IF($C$18="No",'Auto Responses'!$A$3,IF($C25="Yes",VLOOKUP($A25,Questions!$A$2:$X$333,17,0)&amp;"",IF($C25="No",VLOOKUP($A25,Questions!$A$2:$X$333,16,0)&amp;"",VLOOKUP($A25,Questions!$A$2:$X$333,15,0)&amp;"")))</f>
        <v>Describe plans to participate in InCommon or another eduGAIN-affiliated trust federation.</v>
      </c>
      <c r="F25" s="202" t="str">
        <f>VLOOKUP($A25,'Institution Evaluation'!$A$56:$F$346,6,0)&amp;""</f>
        <v/>
      </c>
      <c r="I25" s="36"/>
      <c r="J25" s="36"/>
    </row>
    <row r="26" spans="1:10" s="1" customFormat="1" ht="28.5" x14ac:dyDescent="0.2">
      <c r="A26" s="19" t="s">
        <v>239</v>
      </c>
      <c r="B26" s="18" t="str">
        <f>VLOOKUP($A26,Questions!$A$2:$X$333,2,0)</f>
        <v>Are there any passwords/passphrases hard-coded into your systems or solutions?*</v>
      </c>
      <c r="C26" s="21" t="s">
        <v>149</v>
      </c>
      <c r="D26" s="314"/>
      <c r="E26" s="168" t="str">
        <f>IF($C$18="No",'Auto Responses'!$A$3,IF($C26="Yes",VLOOKUP($A26,Questions!$A$2:$X$333,17,0)&amp;"",IF($C26="No",VLOOKUP($A26,Questions!$A$2:$X$333,16,0)&amp;"",VLOOKUP($A26,Questions!$A$2:$X$333,15,0)&amp;"")))</f>
        <v/>
      </c>
      <c r="F26" s="202" t="str">
        <f>VLOOKUP($A26,'Institution Evaluation'!$A$56:$F$346,6,0)&amp;""</f>
        <v/>
      </c>
      <c r="I26" s="36"/>
      <c r="J26" s="36"/>
    </row>
    <row r="27" spans="1:10" s="1" customFormat="1" ht="15" x14ac:dyDescent="0.2">
      <c r="A27" s="19" t="s">
        <v>242</v>
      </c>
      <c r="B27" s="18" t="str">
        <f>VLOOKUP($A27,Questions!$A$2:$X$333,2,0)</f>
        <v>Are you storing any passwords in plaintext?*</v>
      </c>
      <c r="C27" s="21" t="s">
        <v>149</v>
      </c>
      <c r="D27" s="314"/>
      <c r="E27" s="168" t="str">
        <f>IF($C$18="No",'Auto Responses'!$A$3,IF($C27="Yes",VLOOKUP($A27,Questions!$A$2:$X$333,17,0)&amp;"",IF($C27="No",VLOOKUP($A27,Questions!$A$2:$X$333,16,0)&amp;"",VLOOKUP($A27,Questions!$A$2:$X$333,15,0)&amp;"")))</f>
        <v/>
      </c>
      <c r="F27" s="202" t="str">
        <f>VLOOKUP($A27,'Institution Evaluation'!$A$56:$F$346,6,0)&amp;""</f>
        <v/>
      </c>
      <c r="I27" s="36"/>
      <c r="J27" s="36"/>
    </row>
    <row r="28" spans="1:10" s="1" customFormat="1" ht="60" x14ac:dyDescent="0.2">
      <c r="A28" s="19" t="s">
        <v>245</v>
      </c>
      <c r="B28" s="18" t="str">
        <f>VLOOKUP($A28,Questions!$A$2:$X$333,2,0)</f>
        <v>Are audit logs available that include AT LEAST all of the following: login, logout, actions performed, and source IP address?*</v>
      </c>
      <c r="C28" s="21" t="s">
        <v>149</v>
      </c>
      <c r="D28" s="35" t="s">
        <v>1790</v>
      </c>
      <c r="E28" s="168" t="str">
        <f>IF($C$18="No",'Auto Responses'!$A$3,IF($C28="Yes",VLOOKUP($A28,Questions!$A$2:$X$333,17,0)&amp;"",IF($C28="No",VLOOKUP($A28,Questions!$A$2:$X$333,16,0)&amp;"",VLOOKUP($A28,Questions!$A$2:$X$333,15,0)&amp;"")))</f>
        <v>Describe any plans to enable audit logs for these data elements.</v>
      </c>
      <c r="F28" s="202" t="str">
        <f>VLOOKUP($A28,'Institution Evaluation'!$A$56:$F$346,6,0)&amp;""</f>
        <v/>
      </c>
      <c r="I28" s="36"/>
      <c r="J28" s="36"/>
    </row>
    <row r="29" spans="1:10" s="1" customFormat="1" ht="85.5" x14ac:dyDescent="0.2">
      <c r="A29" s="19" t="s">
        <v>248</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78"/>
      <c r="D29" s="35" t="s">
        <v>1793</v>
      </c>
      <c r="E29" s="168" t="str">
        <f>IF($C$18="No",'Auto Responses'!$A$3,IF($C29="Yes",VLOOKUP($A29,Questions!$A$2:$X$333,17,0)&amp;"",IF($C29="No",VLOOKUP($A29,Questions!$A$2:$X$333,16,0)&amp;"",VLOOKUP($A29,Questions!$A$2:$X$333,15,0)&amp;"")))</f>
        <v>Ensure that all elements of AAAI-10 are clearly stated in your response.</v>
      </c>
      <c r="F29" s="202" t="str">
        <f>VLOOKUP($A29,'Institution Evaluation'!$A$56:$F$346,6,0)&amp;""</f>
        <v/>
      </c>
      <c r="I29" s="36"/>
      <c r="J29" s="36"/>
    </row>
    <row r="30" spans="1:10" s="1" customFormat="1" ht="60" x14ac:dyDescent="0.2">
      <c r="A30" s="19" t="s">
        <v>252</v>
      </c>
      <c r="B30" s="18" t="str">
        <f>VLOOKUP($A30,Questions!$A$2:$X$333,2,0)</f>
        <v>Can you provide the institution documentation regarding the retention period for those logs, how logs are protected, and whether they are accessible to the customer (and if so, how)?*</v>
      </c>
      <c r="C30" s="21" t="s">
        <v>149</v>
      </c>
      <c r="D30" s="35" t="s">
        <v>1790</v>
      </c>
      <c r="E30" s="168" t="str">
        <f>IF($C$18="No",'Auto Responses'!$A$3,IF($C30="Yes",VLOOKUP($A30,Questions!$A$2:$X$333,17,0)&amp;"",IF($C30="No",VLOOKUP($A30,Questions!$A$2:$X$333,16,0)&amp;"",VLOOKUP($A30,Questions!$A$2:$X$333,15,0)&amp;"")))</f>
        <v>Ensure that all elements of AAAI-11 are clearly stated in your response.</v>
      </c>
      <c r="F30" s="202" t="str">
        <f>VLOOKUP($A30,'Institution Evaluation'!$A$56:$F$346,6,0)&amp;""</f>
        <v/>
      </c>
      <c r="I30" s="36"/>
      <c r="J30" s="36"/>
    </row>
    <row r="31" spans="1:10" s="1" customFormat="1" ht="55.5" customHeight="1" x14ac:dyDescent="0.2">
      <c r="A31" s="19" t="s">
        <v>256</v>
      </c>
      <c r="B31" s="18" t="str">
        <f>VLOOKUP($A31,Questions!$A$2:$X$333,2,0)</f>
        <v>For customers not using SSO, does your application support integration with other authentication and authorization systems?</v>
      </c>
      <c r="C31" s="21" t="s">
        <v>149</v>
      </c>
      <c r="D31" s="314"/>
      <c r="E31" s="168" t="str">
        <f>IF($C$18="No",'Auto Responses'!$A$3,IF($C31="Yes",VLOOKUP($A31,Questions!$A$2:$X$333,17,0)&amp;"",IF($C31="No",VLOOKUP($A31,Questions!$A$2:$X$333,16,0)&amp;"",VLOOKUP($A31,Questions!$A$2:$X$333,15,0)&amp;"")))</f>
        <v>Describe any plans to support integration with other authentication and authorization systems.</v>
      </c>
      <c r="F31" s="202" t="str">
        <f>VLOOKUP($A31,'Institution Evaluation'!$A$56:$F$346,6,0)&amp;""</f>
        <v/>
      </c>
      <c r="I31" s="36"/>
      <c r="J31" s="36"/>
    </row>
    <row r="32" spans="1:10" s="1" customFormat="1" ht="142.5" x14ac:dyDescent="0.2">
      <c r="A32" s="19" t="s">
        <v>258</v>
      </c>
      <c r="B32" s="18" t="str">
        <f>VLOOKUP($A32,Questions!$A$2:$X$333,2,0)</f>
        <v>Do you allow the customer to specify attribute mappings for any needed information beyond a user identifier? (e.g., Reference eduPerson, ePPA/ePPN/ePE)</v>
      </c>
      <c r="C32" s="356" t="s">
        <v>149</v>
      </c>
      <c r="D32" s="357" t="s">
        <v>1794</v>
      </c>
      <c r="E32" s="168" t="str">
        <f>IF($C$18="No",'Auto Responses'!$A$3,IF($C32="Yes",VLOOKUP($A32,Questions!$A$2:$X$333,17,0)&amp;"",IF($C32="No",VLOOKUP($A32,Questions!$A$2:$X$333,16,0)&amp;"",VLOOKUP($A32,Questions!$A$2:$X$333,15,0)&amp;"")))</f>
        <v>Describe plans to allow customers to specify attribute mappings.</v>
      </c>
      <c r="F32" s="202" t="str">
        <f>VLOOKUP($A32,'Institution Evaluation'!$A$56:$F$346,6,0)&amp;""</f>
        <v/>
      </c>
      <c r="I32" s="36"/>
      <c r="J32" s="36"/>
    </row>
    <row r="33" spans="1:10" s="1" customFormat="1" ht="60" customHeight="1" x14ac:dyDescent="0.2">
      <c r="A33" s="19" t="s">
        <v>263</v>
      </c>
      <c r="B33" s="18" t="str">
        <f>VLOOKUP($A33,Questions!$A$2:$X$333,2,0)</f>
        <v>For customers not using SSO, does your application support directory integration for user accounts?</v>
      </c>
      <c r="C33" s="21" t="s">
        <v>149</v>
      </c>
      <c r="D33" s="314" t="s">
        <v>1793</v>
      </c>
      <c r="E33" s="168" t="str">
        <f>IF($C$18="No",'Auto Responses'!$A$3,IF($C33="Yes",VLOOKUP($A33,Questions!$A$2:$X$333,17,0)&amp;"",IF($C33="No",VLOOKUP($A33,Questions!$A$2:$X$333,16,0)&amp;"",VLOOKUP($A33,Questions!$A$2:$X$333,15,0)&amp;"")))</f>
        <v>Describe any plans to support external authentication services in place of local authentication.</v>
      </c>
      <c r="F33" s="202" t="str">
        <f>VLOOKUP($A33,'Institution Evaluation'!$A$56:$F$346,6,0)&amp;""</f>
        <v/>
      </c>
      <c r="I33" s="36"/>
      <c r="J33" s="36"/>
    </row>
    <row r="34" spans="1:10" s="1" customFormat="1" ht="75" customHeight="1" x14ac:dyDescent="0.2">
      <c r="A34" s="19" t="s">
        <v>264</v>
      </c>
      <c r="B34" s="18" t="str">
        <f>VLOOKUP($A34,Questions!$A$2:$X$333,2,0)</f>
        <v>Does your solution support any of the following web SSO standards: SAML2 (with redirect flow), OIDC, CAS, or other?</v>
      </c>
      <c r="C34" s="21" t="s">
        <v>149</v>
      </c>
      <c r="D34" s="314" t="s">
        <v>1793</v>
      </c>
      <c r="E34" s="168" t="str">
        <f>IF($C$18="No",'Auto Responses'!$A$3,IF($C34="Yes",VLOOKUP($A34,Questions!$A$2:$X$333,17,0)&amp;"",IF($C34="No",VLOOKUP($A34,Questions!$A$2:$X$333,16,0)&amp;"",VLOOKUP($A34,Questions!$A$2:$X$333,15,0)&amp;"")))</f>
        <v>Describe plans to support web SSO in your solution.</v>
      </c>
      <c r="F34" s="202" t="str">
        <f>VLOOKUP($A34,'Institution Evaluation'!$A$56:$F$346,6,0)&amp;""</f>
        <v/>
      </c>
      <c r="I34" s="36"/>
      <c r="J34" s="36"/>
    </row>
    <row r="35" spans="1:10" s="1" customFormat="1" ht="70.5" customHeight="1" x14ac:dyDescent="0.2">
      <c r="A35" s="19" t="s">
        <v>268</v>
      </c>
      <c r="B35" s="18" t="str">
        <f>VLOOKUP($A35,Questions!$A$2:$X$333,2,0)</f>
        <v>Do you support differentiation between email address and user identifier?</v>
      </c>
      <c r="C35" s="21" t="s">
        <v>40</v>
      </c>
      <c r="D35" s="314"/>
      <c r="E35" s="168" t="str">
        <f>IF($C$18="No",'Auto Responses'!$A$3,IF($C35="Yes",VLOOKUP($A35,Questions!$A$2:$X$333,17,0)&amp;"",IF($C35="No",VLOOKUP($A35,Questions!$A$2:$X$333,16,0)&amp;"",VLOOKUP($A35,Questions!$A$2:$X$333,15,0)&amp;"")))</f>
        <v/>
      </c>
      <c r="F35" s="202" t="str">
        <f>VLOOKUP($A35,'Institution Evaluation'!$A$56:$F$346,6,0)&amp;""</f>
        <v/>
      </c>
      <c r="I35" s="36"/>
      <c r="J35" s="36"/>
    </row>
    <row r="36" spans="1:10" s="1" customFormat="1" ht="57.75" customHeight="1" x14ac:dyDescent="0.2">
      <c r="A36" s="19" t="s">
        <v>271</v>
      </c>
      <c r="B36" s="18" t="str">
        <f>VLOOKUP($A36,Questions!$A$2:$X$333,2,0)</f>
        <v>For customers not using SSO, does your application and/or user frontend/portal support multifactor authentication (e.g., Duo, Google Authenticator, OTP, etc.)?</v>
      </c>
      <c r="C36" s="21" t="s">
        <v>149</v>
      </c>
      <c r="D36" s="314"/>
      <c r="E36" s="168" t="str">
        <f>IF($C$18="No",'Auto Responses'!$A$3,IF($C$20="No",'Auto Responses'!$A$28,IF($C36="Yes",VLOOKUP($A36,Questions!$A$2:$X$333,17,0)&amp;"",IF($C36="No",VLOOKUP($A36,Questions!$A$2:$X$333,16,0)&amp;"",VLOOKUP($A36,Questions!$A$2:$X$333,15,0)&amp;""))))</f>
        <v>Based on the response to AAAI-01, this question does not apply to this product or service.</v>
      </c>
      <c r="F36" s="202" t="str">
        <f>VLOOKUP($A36,'Institution Evaluation'!$A$56:$F$346,6,0)&amp;""</f>
        <v/>
      </c>
      <c r="I36" s="36"/>
      <c r="J36" s="36"/>
    </row>
    <row r="37" spans="1:10" s="1" customFormat="1" ht="99" customHeight="1" thickBot="1" x14ac:dyDescent="0.25">
      <c r="A37" s="19" t="s">
        <v>274</v>
      </c>
      <c r="B37" s="18" t="str">
        <f>VLOOKUP($A37,Questions!$A$2:$X$333,2,0)</f>
        <v>Does your application automatically lock the session or log out an account after a period of inactivity?</v>
      </c>
      <c r="C37" s="21" t="s">
        <v>40</v>
      </c>
      <c r="D37" s="314" t="s">
        <v>1793</v>
      </c>
      <c r="E37" s="168" t="str">
        <f>IF($C$18="No",'Auto Responses'!$A$3,IF($C37="Yes",VLOOKUP($A37,Questions!$A$2:$X$333,17,0)&amp;"",IF($C37="No",VLOOKUP($A37,Questions!$A$2:$X$333,16,0)&amp;"",VLOOKUP($A37,Questions!$A$2:$X$333,15,0)&amp;"")))</f>
        <v>Describe the default behavior of this capability.</v>
      </c>
      <c r="F37" s="202" t="str">
        <f>VLOOKUP($A37,'Institution Evaluation'!$A$56:$F$346,6,0)&amp;""</f>
        <v/>
      </c>
      <c r="G37" s="239" t="s">
        <v>1505</v>
      </c>
      <c r="I37" s="36"/>
      <c r="J37" s="36"/>
    </row>
    <row r="38" spans="1:10" s="1" customFormat="1" ht="37.35" customHeight="1" thickBot="1" x14ac:dyDescent="0.25">
      <c r="A38" s="64" t="str">
        <f>VLOOKUP(LEFT($A39,4),'Auto Responses'!$N$4:$O$38,2,0)&amp;""</f>
        <v xml:space="preserve"> Data</v>
      </c>
      <c r="B38" s="23"/>
      <c r="C38" s="13" t="s">
        <v>1555</v>
      </c>
      <c r="D38" s="13" t="s">
        <v>72</v>
      </c>
      <c r="E38" s="32" t="s">
        <v>883</v>
      </c>
      <c r="F38" s="188" t="s">
        <v>884</v>
      </c>
      <c r="I38" s="36"/>
      <c r="J38" s="36"/>
    </row>
    <row r="39" spans="1:10" s="1" customFormat="1" ht="72" customHeight="1" x14ac:dyDescent="0.2">
      <c r="A39" s="19" t="s">
        <v>333</v>
      </c>
      <c r="B39" s="18" t="str">
        <f>VLOOKUP($A39,Questions!$A$2:$X$333,2,0)</f>
        <v>Will the institution's data be stored on any devices (database servers, file servers, SAN, NAS, etc.) configured with non-RFC 1918/4193 (i.e., publicly routable) IP addresses?*</v>
      </c>
      <c r="C39" s="21" t="s">
        <v>149</v>
      </c>
      <c r="D39" s="314"/>
      <c r="E39" s="168" t="str">
        <f>IF($C$18="No",'Auto Responses'!$A$3,IF($C39="Yes",VLOOKUP($A39,Questions!$A$2:$X$333,17,0)&amp;"",IF($C39="No",VLOOKUP($A39,Questions!$A$2:$X$333,16,0)&amp;"",VLOOKUP($A39,Questions!$A$2:$X$333,15,0)&amp;"")))</f>
        <v/>
      </c>
      <c r="F39" s="202" t="str">
        <f>VLOOKUP($A39,'Institution Evaluation'!$A$56:$F$346,6,0)&amp;""</f>
        <v/>
      </c>
      <c r="I39" s="36"/>
      <c r="J39" s="36"/>
    </row>
    <row r="40" spans="1:10" s="1" customFormat="1" ht="114" x14ac:dyDescent="0.2">
      <c r="A40" s="19" t="s">
        <v>337</v>
      </c>
      <c r="B40" s="18" t="str">
        <f>VLOOKUP($A40,Questions!$A$2:$X$333,2,0)</f>
        <v>Is the transport of sensitive data encrypted using security protocols/algorithms (e.g., system-to-client)?*</v>
      </c>
      <c r="C40" s="356" t="s">
        <v>40</v>
      </c>
      <c r="D40" s="357" t="s">
        <v>1795</v>
      </c>
      <c r="E40" s="168" t="str">
        <f>IF($C$18="No",'Auto Responses'!$A$3,IF($C40="Yes",VLOOKUP($A40,Questions!$A$2:$X$333,17,0)&amp;"",IF($C40="No",VLOOKUP($A40,Questions!$A$2:$X$333,16,0)&amp;"",VLOOKUP($A40,Questions!$A$2:$X$333,15,0)&amp;"")))</f>
        <v>Summarize your transport encryption strategy.</v>
      </c>
      <c r="F40" s="202" t="str">
        <f>VLOOKUP($A40,'Institution Evaluation'!$A$56:$F$346,6,0)&amp;""</f>
        <v/>
      </c>
      <c r="I40" s="36"/>
      <c r="J40" s="36"/>
    </row>
    <row r="41" spans="1:10" s="1" customFormat="1" ht="128.25" x14ac:dyDescent="0.2">
      <c r="A41" s="19" t="s">
        <v>340</v>
      </c>
      <c r="B41" s="18" t="str">
        <f>VLOOKUP($A41,Questions!$A$2:$X$333,2,0)</f>
        <v>Is the storage of sensitive data encrypted using security protocols/algorithms (e.g., disk encryption, at-rest, files, and within a running database)?*</v>
      </c>
      <c r="C41" s="356" t="s">
        <v>40</v>
      </c>
      <c r="D41" s="357" t="s">
        <v>1796</v>
      </c>
      <c r="E41" s="168" t="str">
        <f>IF($C$18="No",'Auto Responses'!$A$3,IF($C41="Yes",VLOOKUP($A41,Questions!$A$2:$X$333,17,0)&amp;"",IF($C41="No",VLOOKUP($A41,Questions!$A$2:$X$333,16,0)&amp;"",VLOOKUP($A41,Questions!$A$2:$X$333,15,0)&amp;"")))</f>
        <v>Summarize your data encryption strategy and state what encryption options are available.</v>
      </c>
      <c r="F41" s="202" t="str">
        <f>VLOOKUP($A41,'Institution Evaluation'!$A$56:$F$346,6,0)&amp;""</f>
        <v/>
      </c>
      <c r="I41" s="36"/>
      <c r="J41" s="36"/>
    </row>
    <row r="42" spans="1:10" s="1" customFormat="1" ht="156.75" x14ac:dyDescent="0.2">
      <c r="A42" s="19" t="s">
        <v>344</v>
      </c>
      <c r="B42" s="18" t="str">
        <f>VLOOKUP($A42,Questions!$A$2:$X$333,2,0)</f>
        <v>Do all cryptographic modules in use in your solution conform to the Federal Information Processing Standards (FIPS PUB 140-2 or 140-3)?*</v>
      </c>
      <c r="C42" s="356" t="s">
        <v>149</v>
      </c>
      <c r="D42" s="357" t="s">
        <v>1797</v>
      </c>
      <c r="E42" s="168" t="str">
        <f>IF($C$18="No",'Auto Responses'!$A$3,IF($C42="Yes",VLOOKUP($A42,Questions!$A$2:$X$333,17,0)&amp;"",IF($C42="No",VLOOKUP($A42,Questions!$A$2:$X$333,16,0)&amp;"",VLOOKUP($A42,Questions!$A$2:$X$333,15,0)&amp;"")))</f>
        <v>Provide a detailed description of all non-conforming modules.</v>
      </c>
      <c r="F42" s="202" t="str">
        <f>VLOOKUP($A42,'Institution Evaluation'!$A$56:$F$346,6,0)&amp;""</f>
        <v/>
      </c>
      <c r="I42" s="36"/>
      <c r="J42" s="36"/>
    </row>
    <row r="43" spans="1:10" s="1" customFormat="1" ht="79.5" customHeight="1" x14ac:dyDescent="0.2">
      <c r="A43" s="19" t="s">
        <v>349</v>
      </c>
      <c r="B43" s="18" t="str">
        <f>VLOOKUP($A43,Questions!$A$2:$X$333,2,0)</f>
        <v>Will the institution's data be available within the system for a period of time at the completion of this contract?*</v>
      </c>
      <c r="C43" s="21" t="s">
        <v>40</v>
      </c>
      <c r="D43" s="314" t="s">
        <v>1798</v>
      </c>
      <c r="E43" s="168" t="str">
        <f>IF($C$18="No",'Auto Responses'!$A$3,IF($C43="Yes",VLOOKUP($A43,Questions!$A$2:$X$333,17,0)&amp;"",IF($C43="No",VLOOKUP($A43,Questions!$A$2:$X$333,16,0)&amp;"",VLOOKUP($A43,Questions!$A$2:$X$333,15,0)&amp;"")))</f>
        <v>State the length of time that the institution's data will be available in the system at the completion of the contract.</v>
      </c>
      <c r="F43" s="202" t="str">
        <f>VLOOKUP($A43,'Institution Evaluation'!$A$56:$F$346,6,0)&amp;""</f>
        <v/>
      </c>
      <c r="I43" s="36"/>
      <c r="J43" s="36"/>
    </row>
    <row r="44" spans="1:10" s="1" customFormat="1" ht="38.25" customHeight="1" x14ac:dyDescent="0.2">
      <c r="A44" s="19" t="s">
        <v>352</v>
      </c>
      <c r="B44" s="18" t="str">
        <f>VLOOKUP($A44,Questions!$A$2:$X$333,2,0)</f>
        <v>Are ownership rights to all data, inputs, outputs, and metadata retained even through a provider acquisition or bankruptcy event?*</v>
      </c>
      <c r="C44" s="356" t="s">
        <v>40</v>
      </c>
      <c r="D44" s="358" t="s">
        <v>1799</v>
      </c>
      <c r="E44" s="168" t="str">
        <f>IF($C$18="No",'Auto Responses'!$A$3,IF($C44="Yes",VLOOKUP($A44,Questions!$A$2:$X$333,17,0)&amp;"",IF($C44="No",VLOOKUP($A44,Questions!$A$2:$X$333,16,0)&amp;"",VLOOKUP($A44,Questions!$A$2:$X$333,15,0)&amp;"")))</f>
        <v>Provide references, as needed.</v>
      </c>
      <c r="F44" s="202" t="str">
        <f>VLOOKUP($A44,'Institution Evaluation'!$A$56:$F$346,6,0)&amp;""</f>
        <v/>
      </c>
      <c r="I44" s="36"/>
      <c r="J44" s="36"/>
    </row>
    <row r="45" spans="1:10" s="1" customFormat="1" ht="38.25" customHeight="1" x14ac:dyDescent="0.2">
      <c r="A45" s="19" t="s">
        <v>354</v>
      </c>
      <c r="B45" s="18" t="str">
        <f>VLOOKUP($A45,Questions!$A$2:$X$333,2,0)</f>
        <v>Do backups containing the institution's data ever leave the institution's data zone either physically or via network routing?*</v>
      </c>
      <c r="C45" s="21" t="s">
        <v>40</v>
      </c>
      <c r="D45" s="314" t="s">
        <v>1800</v>
      </c>
      <c r="E45" s="168" t="str">
        <f>IF($C$18="No",'Auto Responses'!$A$3,IF($C45="Yes",VLOOKUP($A45,Questions!$A$2:$X$333,17,0)&amp;"",IF($C45="No",VLOOKUP($A45,Questions!$A$2:$X$333,16,0)&amp;"",VLOOKUP($A45,Questions!$A$2:$X$333,15,0)&amp;"")))</f>
        <v>Summarize why backups containing the institution's data leave the institution's data zone.</v>
      </c>
      <c r="F45" s="202" t="str">
        <f>VLOOKUP($A45,'Institution Evaluation'!$A$56:$F$346,6,0)&amp;""</f>
        <v/>
      </c>
      <c r="I45" s="36"/>
      <c r="J45" s="36"/>
    </row>
    <row r="46" spans="1:10" s="1" customFormat="1" ht="38.25" customHeight="1" x14ac:dyDescent="0.2">
      <c r="A46" s="19" t="s">
        <v>356</v>
      </c>
      <c r="B46" s="18" t="str">
        <f>VLOOKUP($A46,Questions!$A$2:$X$333,2,0)</f>
        <v>Is media used for long-term retention of business data and archival purposes stored in a secure, environmentally protected area?*</v>
      </c>
      <c r="C46" s="21" t="s">
        <v>40</v>
      </c>
      <c r="D46" s="314"/>
      <c r="E46" s="168" t="str">
        <f>IF($C$18="No",'Auto Responses'!$A$3,IF($C46="Yes",VLOOKUP($A46,Questions!$A$2:$X$333,17,0)&amp;"",IF($C46="No",VLOOKUP($A46,Questions!$A$2:$X$333,16,0)&amp;"",VLOOKUP($A46,Questions!$A$2:$X$333,15,0)&amp;"")))</f>
        <v>Provide a general summary of your archival environment.</v>
      </c>
      <c r="F46" s="202" t="str">
        <f>VLOOKUP($A46,'Institution Evaluation'!$A$56:$F$346,6,0)&amp;""</f>
        <v/>
      </c>
      <c r="I46" s="36"/>
      <c r="J46" s="36"/>
    </row>
    <row r="47" spans="1:10" s="1" customFormat="1" ht="48" customHeight="1" x14ac:dyDescent="0.2">
      <c r="A47" s="19" t="s">
        <v>360</v>
      </c>
      <c r="B47" s="18" t="str">
        <f>VLOOKUP($A47,Questions!$A$2:$X$333,2,0)</f>
        <v>At the completion of this contract, will data be returned to the institution and/or deleted from all your systems and archives?</v>
      </c>
      <c r="C47" s="21" t="s">
        <v>40</v>
      </c>
      <c r="D47" s="314" t="s">
        <v>1801</v>
      </c>
      <c r="E47" s="168" t="str">
        <f>IF($C$18="No",'Auto Responses'!$A$3,IF($C47="Yes",VLOOKUP($A47,Questions!$A$2:$X$333,17,0)&amp;"",IF($C47="No",VLOOKUP($A47,Questions!$A$2:$X$333,16,0)&amp;"",VLOOKUP($A47,Questions!$A$2:$X$333,15,0)&amp;"")))</f>
        <v>State the length of time that the institution's data will be available in the system at the completion of the contract.</v>
      </c>
      <c r="F47" s="202" t="str">
        <f>VLOOKUP($A47,'Institution Evaluation'!$A$56:$F$346,6,0)&amp;""</f>
        <v/>
      </c>
      <c r="I47" s="36"/>
      <c r="J47" s="36"/>
    </row>
    <row r="48" spans="1:10" s="1" customFormat="1" ht="38.25" customHeight="1" x14ac:dyDescent="0.2">
      <c r="A48" s="19" t="s">
        <v>364</v>
      </c>
      <c r="B48" s="18" t="str">
        <f>VLOOKUP($A48,Questions!$A$2:$X$333,2,0)</f>
        <v>Can the institution extract a full or partial backup of data?</v>
      </c>
      <c r="C48" s="21" t="s">
        <v>40</v>
      </c>
      <c r="D48" s="314" t="s">
        <v>1801</v>
      </c>
      <c r="E48" s="168" t="str">
        <f>IF($C$18="No",'Auto Responses'!$A$3,IF($C48="Yes",VLOOKUP($A48,Questions!$A$2:$X$333,17,0)&amp;"",IF($C48="No",VLOOKUP($A48,Questions!$A$2:$X$333,16,0)&amp;"",VLOOKUP($A48,Questions!$A$2:$X$333,15,0)&amp;"")))</f>
        <v>Provide a general summary of how full and partial backups of data can be extracted.</v>
      </c>
      <c r="F48" s="202" t="str">
        <f>VLOOKUP($A48,'Institution Evaluation'!$A$56:$F$346,6,0)&amp;""</f>
        <v/>
      </c>
      <c r="I48" s="36"/>
      <c r="J48" s="36"/>
    </row>
    <row r="49" spans="1:10" s="1" customFormat="1" ht="54" customHeight="1" x14ac:dyDescent="0.2">
      <c r="A49" s="19" t="s">
        <v>368</v>
      </c>
      <c r="B49" s="18" t="str">
        <f>VLOOKUP($A49,Questions!$A$2:$X$333,2,0)</f>
        <v>Do current backups include all operating system software, utilities, security software, application software, and data files necessary for recovery?</v>
      </c>
      <c r="C49" s="21" t="s">
        <v>40</v>
      </c>
      <c r="D49" s="314"/>
      <c r="E49" s="168" t="str">
        <f>IF($C$18="No",'Auto Responses'!$A$3,IF($C49="Yes",VLOOKUP($A49,Questions!$A$2:$X$333,17,0)&amp;"",IF($C49="No",VLOOKUP($A49,Questions!$A$2:$X$333,16,0)&amp;"",VLOOKUP($A49,Questions!$A$2:$X$333,15,0)&amp;"")))</f>
        <v>Decribe your overall strategy to accomplish these elements.</v>
      </c>
      <c r="F49" s="202" t="str">
        <f>VLOOKUP($A49,'Institution Evaluation'!$A$56:$F$346,6,0)&amp;""</f>
        <v/>
      </c>
      <c r="I49" s="36"/>
      <c r="J49" s="36"/>
    </row>
    <row r="50" spans="1:10" s="1" customFormat="1" ht="53.25" customHeight="1" x14ac:dyDescent="0.2">
      <c r="A50" s="19" t="s">
        <v>372</v>
      </c>
      <c r="B50" s="18" t="str">
        <f>VLOOKUP($A50,Questions!$A$2:$X$333,2,0)</f>
        <v>Are you performing off-site backups (i.e., digitally moved off site)?</v>
      </c>
      <c r="C50" s="21" t="s">
        <v>149</v>
      </c>
      <c r="D50" s="314"/>
      <c r="E50" s="168" t="str">
        <f>IF($C$18="No",'Auto Responses'!$A$3,IF($C50="Yes",VLOOKUP($A50,Questions!$A$2:$X$333,17,0)&amp;"",IF($C50="No",VLOOKUP($A50,Questions!$A$2:$X$333,16,0)&amp;"",VLOOKUP($A50,Questions!$A$2:$X$333,15,0)&amp;"")))</f>
        <v>State any plans to implement off-site virtual backups in your environment.</v>
      </c>
      <c r="F50" s="202" t="str">
        <f>VLOOKUP($A50,'Institution Evaluation'!$A$56:$F$346,6,0)&amp;""</f>
        <v/>
      </c>
      <c r="I50" s="36"/>
      <c r="J50" s="36"/>
    </row>
    <row r="51" spans="1:10" s="1" customFormat="1" ht="51.75" customHeight="1" x14ac:dyDescent="0.2">
      <c r="A51" s="19" t="s">
        <v>378</v>
      </c>
      <c r="B51" s="18" t="str">
        <f>VLOOKUP($A51,Questions!$A$2:$X$333,2,0)</f>
        <v>Are physical backups taken off-site (i.e., physically moved off site)?</v>
      </c>
      <c r="C51" s="21" t="s">
        <v>149</v>
      </c>
      <c r="D51" s="314"/>
      <c r="E51" s="168" t="str">
        <f>IF($C$18="No",'Auto Responses'!$A$3,IF($C51="Yes",VLOOKUP($A51,Questions!$A$2:$X$333,17,0)&amp;"",IF($C51="No",VLOOKUP($A51,Questions!$A$2:$X$333,16,0)&amp;"",VLOOKUP($A51,Questions!$A$2:$X$333,15,0)&amp;"")))</f>
        <v>State any plans to implement off-site physical backups in your environment.</v>
      </c>
      <c r="F51" s="202" t="str">
        <f>VLOOKUP($A51,'Institution Evaluation'!$A$56:$F$346,6,0)&amp;""</f>
        <v/>
      </c>
      <c r="I51" s="36"/>
      <c r="J51" s="36"/>
    </row>
    <row r="52" spans="1:10" s="1" customFormat="1" ht="75.75" customHeight="1" x14ac:dyDescent="0.2">
      <c r="A52" s="19" t="s">
        <v>383</v>
      </c>
      <c r="B52" s="18" t="str">
        <f>VLOOKUP($A52,Questions!$A$2:$X$333,2,0)</f>
        <v>Are data backups encrypted?</v>
      </c>
      <c r="C52" s="21" t="s">
        <v>149</v>
      </c>
      <c r="D52" s="314" t="s">
        <v>1802</v>
      </c>
      <c r="E52" s="168" t="str">
        <f>IF($C$18="No",'Auto Responses'!$A$3,IF($C52="Yes",VLOOKUP($A52,Questions!$A$2:$X$333,17,0)&amp;"",IF($C52="No",VLOOKUP($A52,Questions!$A$2:$X$333,16,0)&amp;"",VLOOKUP($A52,Questions!$A$2:$X$333,15,0)&amp;"")))</f>
        <v>Summarize why backups are not encrypted.</v>
      </c>
      <c r="F52" s="202" t="str">
        <f>VLOOKUP($A52,'Institution Evaluation'!$A$56:$F$346,6,0)&amp;""</f>
        <v/>
      </c>
      <c r="I52" s="36"/>
      <c r="J52" s="36"/>
    </row>
    <row r="53" spans="1:10" s="1" customFormat="1" ht="66" customHeight="1" x14ac:dyDescent="0.2">
      <c r="A53" s="19" t="s">
        <v>384</v>
      </c>
      <c r="B53" s="18" t="str">
        <f>VLOOKUP($A53,Questions!$A$2:$X$333,2,0)</f>
        <v>Do you have a media handling process that is documented and currently implemented that meets established business needs and regulatory requirements, including end-of-life, repurposing, and data-sanitization procedures?</v>
      </c>
      <c r="C53" s="21" t="s">
        <v>149</v>
      </c>
      <c r="D53" s="35" t="s">
        <v>1790</v>
      </c>
      <c r="E53" s="168" t="str">
        <f>IF($C$18="No",'Auto Responses'!$A$3,IF($C53="Yes",VLOOKUP($A53,Questions!$A$2:$X$333,17,0)&amp;"",IF($C53="No",VLOOKUP($A53,Questions!$A$2:$X$333,16,0)&amp;"",VLOOKUP($A53,Questions!$A$2:$X$333,15,0)&amp;"")))</f>
        <v>Provide a detailed summary of media handling processes that do exist.</v>
      </c>
      <c r="F53" s="202" t="str">
        <f>VLOOKUP($A53,'Institution Evaluation'!$A$56:$F$346,6,0)&amp;""</f>
        <v/>
      </c>
      <c r="I53" s="36"/>
      <c r="J53" s="36"/>
    </row>
    <row r="54" spans="1:10" s="1" customFormat="1" ht="60" x14ac:dyDescent="0.2">
      <c r="A54" s="19" t="s">
        <v>386</v>
      </c>
      <c r="B54" s="18" t="str">
        <f>VLOOKUP($A54,Questions!$A$2:$X$333,2,0)</f>
        <v>Does the process described in DATA-15 adhere to DoD 5220.22-M and/or NIST SP 800-88 standards?</v>
      </c>
      <c r="C54" s="21" t="s">
        <v>149</v>
      </c>
      <c r="D54" s="35" t="s">
        <v>1790</v>
      </c>
      <c r="E54" s="168" t="str">
        <f>IF($C$18="No",'Auto Responses'!$A$3,IF($C54="Yes",VLOOKUP($A54,Questions!$A$2:$X$333,17,0)&amp;"",IF($C54="No",VLOOKUP($A54,Questions!$A$2:$X$333,16,0)&amp;"",VLOOKUP($A54,Questions!$A$2:$X$333,15,0)&amp;"")))</f>
        <v>State plans to adhere to DoD 5220.22-M and/or NIST SP 800-88 standards.</v>
      </c>
      <c r="F54" s="202" t="str">
        <f>VLOOKUP($A54,'Institution Evaluation'!$A$56:$F$346,6,0)&amp;""</f>
        <v/>
      </c>
      <c r="I54" s="36"/>
      <c r="J54" s="36"/>
    </row>
    <row r="55" spans="1:10" s="1" customFormat="1" ht="46.5" customHeight="1" x14ac:dyDescent="0.2">
      <c r="A55" s="19" t="s">
        <v>390</v>
      </c>
      <c r="B55" s="18" t="str">
        <f>VLOOKUP($A55,Questions!$A$2:$X$333,2,0)</f>
        <v>Does your staff (or third party) have access to institutional data (e.g., financial, PHI, or other sensitive information) through any means?</v>
      </c>
      <c r="C55" s="21" t="s">
        <v>40</v>
      </c>
      <c r="D55" s="314" t="s">
        <v>1803</v>
      </c>
      <c r="E55" s="168" t="str">
        <f>IF($C$18="No",'Auto Responses'!$A$3,IF($C55="Yes",VLOOKUP($A55,Questions!$A$2:$X$333,17,0)&amp;"",IF($C55="No",VLOOKUP($A55,Questions!$A$2:$X$333,16,0)&amp;"",VLOOKUP($A55,Questions!$A$2:$X$333,15,0)&amp;"")))</f>
        <v>Summarize what access staff (or third parties) have to institutional data.</v>
      </c>
      <c r="F55" s="202" t="str">
        <f>VLOOKUP($A55,'Institution Evaluation'!$A$56:$F$346,6,0)&amp;""</f>
        <v/>
      </c>
      <c r="I55" s="36"/>
      <c r="J55" s="36"/>
    </row>
    <row r="56" spans="1:10" s="1" customFormat="1" ht="67.5" customHeight="1" x14ac:dyDescent="0.2">
      <c r="A56" s="19" t="s">
        <v>396</v>
      </c>
      <c r="B56" s="18" t="str">
        <f>VLOOKUP($A56,Questions!$A$2:$X$333,2,0)</f>
        <v>Do you have a documented and currently implemented strategy for securing employee workstations when they work remotely (i.e., not in a trusted computing environment)?</v>
      </c>
      <c r="C56" s="21" t="s">
        <v>40</v>
      </c>
      <c r="D56" s="314" t="s">
        <v>1804</v>
      </c>
      <c r="E56" s="168" t="str">
        <f>IF($C$18="No",'Auto Responses'!$A$3,IF($C56="Yes",VLOOKUP($A56,Questions!$A$2:$X$333,17,0)&amp;"",IF($C56="No",VLOOKUP($A56,Questions!$A$2:$X$333,16,0)&amp;"",VLOOKUP($A56,Questions!$A$2:$X$333,15,0)&amp;"")))</f>
        <v>Provide a detailed summary outlining the security controls implemented to protect the institution's data.</v>
      </c>
      <c r="F56" s="202" t="str">
        <f>VLOOKUP($A56,'Institution Evaluation'!$A$56:$F$346,6,0)&amp;""</f>
        <v/>
      </c>
      <c r="I56" s="36"/>
      <c r="J56" s="36"/>
    </row>
    <row r="57" spans="1:10" s="1" customFormat="1" ht="68.25" customHeight="1" x14ac:dyDescent="0.2">
      <c r="A57" s="19" t="s">
        <v>398</v>
      </c>
      <c r="B57" s="18" t="str">
        <f>VLOOKUP($A57,Questions!$A$2:$X$333,2,0)</f>
        <v>Does the environment provide for dedicated single-tenant capabilities? If not, describe how your solution or environment separates data from different customers (e.g., logically, physically, single tenancy, multi-tenancy).</v>
      </c>
      <c r="C57" s="356" t="s">
        <v>149</v>
      </c>
      <c r="D57" s="357" t="s">
        <v>1821</v>
      </c>
      <c r="E57" s="168" t="str">
        <f>IF($C$18="No",'Auto Responses'!$A$3,IF($C57="Yes",VLOOKUP($A57,Questions!$A$2:$X$333,17,0)&amp;"",IF($C57="No",VLOOKUP($A57,Questions!$A$2:$X$333,16,0)&amp;"",VLOOKUP($A57,Questions!$A$2:$X$333,15,0)&amp;"")))</f>
        <v>Describe your plan to separate institution data from that of other customers.</v>
      </c>
      <c r="F57" s="202" t="str">
        <f>VLOOKUP($A57,'Institution Evaluation'!$A$56:$F$346,6,0)&amp;""</f>
        <v/>
      </c>
      <c r="I57" s="36"/>
      <c r="J57" s="36"/>
    </row>
    <row r="58" spans="1:10" s="1" customFormat="1" ht="55.5" customHeight="1" x14ac:dyDescent="0.2">
      <c r="A58" s="19" t="s">
        <v>403</v>
      </c>
      <c r="B58" s="18" t="str">
        <f>VLOOKUP($A58,Questions!$A$2:$X$333,2,0)</f>
        <v>Are ownership rights to all data, inputs, outputs, and metadata retained by the institution?</v>
      </c>
      <c r="C58" s="21" t="s">
        <v>40</v>
      </c>
      <c r="D58" s="314"/>
      <c r="E58" s="168" t="str">
        <f>IF($C$18="No",'Auto Responses'!$A$3,IF($C58="Yes",VLOOKUP($A58,Questions!$A$2:$X$333,17,0)&amp;"",IF($C58="No",VLOOKUP($A58,Questions!$A$2:$X$333,16,0)&amp;"",VLOOKUP($A58,Questions!$A$2:$X$333,15,0)&amp;"")))</f>
        <v>Provide reference to your data ownership documention.</v>
      </c>
      <c r="F58" s="202" t="str">
        <f>VLOOKUP($A58,'Institution Evaluation'!$A$56:$F$346,6,0)&amp;""</f>
        <v/>
      </c>
      <c r="I58" s="36"/>
      <c r="J58" s="36"/>
    </row>
    <row r="59" spans="1:10" s="1" customFormat="1" ht="42.75" x14ac:dyDescent="0.2">
      <c r="A59" s="19" t="s">
        <v>406</v>
      </c>
      <c r="B59" s="18" t="str">
        <f>VLOOKUP($A59,Questions!$A$2:$X$333,2,0)</f>
        <v>In the event of imminent bankruptcy, closing of business, or retirement of service, will you provide 90 days for customers to get their data out of the system and migrate applications?</v>
      </c>
      <c r="C59" s="21" t="s">
        <v>40</v>
      </c>
      <c r="D59" s="314"/>
      <c r="E59" s="168" t="str">
        <f>IF($C$18="No",'Auto Responses'!$A$3,IF($C59="Yes",VLOOKUP($A59,Questions!$A$2:$X$333,17,0)&amp;"",IF($C59="No",VLOOKUP($A59,Questions!$A$2:$X$333,16,0)&amp;"",VLOOKUP($A59,Questions!$A$2:$X$333,15,0)&amp;"")))</f>
        <v>State how the institution will be notified of imminent termination.</v>
      </c>
      <c r="F59" s="202" t="str">
        <f>VLOOKUP($A59,'Institution Evaluation'!$A$56:$F$346,6,0)&amp;""</f>
        <v/>
      </c>
      <c r="I59" s="36"/>
      <c r="J59" s="36"/>
    </row>
    <row r="60" spans="1:10" s="1" customFormat="1" ht="42.75" x14ac:dyDescent="0.2">
      <c r="A60" s="19" t="s">
        <v>409</v>
      </c>
      <c r="B60" s="18" t="str">
        <f>VLOOKUP($A60,Questions!$A$2:$X$333,2,0)</f>
        <v>Are involatile backup copies made according to predefined schedules and securely stored and protected?</v>
      </c>
      <c r="C60" s="356" t="s">
        <v>149</v>
      </c>
      <c r="D60" s="357" t="s">
        <v>1790</v>
      </c>
      <c r="E60" s="168" t="str">
        <f>IF($C$18="No",'Auto Responses'!$A$3,IF($C60="Yes",VLOOKUP($A60,Questions!$A$2:$X$333,17,0)&amp;"",IF($C60="No",VLOOKUP($A60,Questions!$A$2:$X$333,16,0)&amp;"",VLOOKUP($A60,Questions!$A$2:$X$333,15,0)&amp;"")))</f>
        <v>State how the institution's data is protected from system failures and ransomware.</v>
      </c>
      <c r="F60" s="202" t="str">
        <f>VLOOKUP($A60,'Institution Evaluation'!$A$56:$F$346,6,0)&amp;""</f>
        <v/>
      </c>
      <c r="I60" s="36"/>
      <c r="J60" s="36"/>
    </row>
    <row r="61" spans="1:10" s="1" customFormat="1" ht="76.5" customHeight="1" x14ac:dyDescent="0.2">
      <c r="A61" s="19" t="s">
        <v>413</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t="s">
        <v>149</v>
      </c>
      <c r="D61" s="357" t="s">
        <v>1790</v>
      </c>
      <c r="E61" s="168" t="str">
        <f>IF($C$18="No",'Auto Responses'!$A$3,IF($C61="Yes",VLOOKUP($A61,Questions!$A$2:$X$333,17,0)&amp;"",IF($C61="No",VLOOKUP($A61,Questions!$A$2:$X$333,16,0)&amp;"",VLOOKUP($A61,Questions!$A$2:$X$333,15,0)&amp;"")))</f>
        <v>Summarize your cryptographic key management process.</v>
      </c>
      <c r="F61" s="202" t="str">
        <f>VLOOKUP($A61,'Institution Evaluation'!$A$56:$F$346,6,0)&amp;""</f>
        <v/>
      </c>
      <c r="G61" s="239" t="s">
        <v>1505</v>
      </c>
      <c r="I61" s="36"/>
      <c r="J61" s="36"/>
    </row>
    <row r="62" spans="1:10" s="172" customFormat="1" ht="36.75" customHeight="1" x14ac:dyDescent="0.2">
      <c r="A62" s="268" t="s">
        <v>1565</v>
      </c>
      <c r="B62" s="254"/>
      <c r="C62" s="255"/>
      <c r="D62" s="315"/>
      <c r="E62" s="257"/>
      <c r="F62" s="258"/>
      <c r="G62" s="259"/>
      <c r="I62" s="173"/>
      <c r="J62" s="173"/>
    </row>
    <row r="63" spans="1:10" s="1" customFormat="1" ht="15" customHeight="1" x14ac:dyDescent="0.2">
      <c r="A63" s="267"/>
      <c r="C63" s="8"/>
      <c r="D63" s="9"/>
      <c r="E63" s="10"/>
      <c r="I63" s="36"/>
      <c r="J63" s="36"/>
    </row>
    <row r="64" spans="1:10" s="1" customFormat="1" ht="15" hidden="1" customHeight="1" x14ac:dyDescent="0.2">
      <c r="A64"/>
      <c r="C64" s="8"/>
      <c r="D64" s="9"/>
      <c r="E64" s="10"/>
      <c r="I64" s="36"/>
      <c r="J64" s="36"/>
    </row>
    <row r="65" spans="1:12" ht="15" hidden="1" customHeight="1" x14ac:dyDescent="0.2">
      <c r="A65" s="1"/>
      <c r="B65" s="8"/>
      <c r="C65" s="72"/>
      <c r="D65" s="10"/>
      <c r="E65" s="1"/>
      <c r="H65" s="36"/>
      <c r="I65" s="1"/>
      <c r="J65" s="1"/>
      <c r="L65"/>
    </row>
    <row r="66" spans="1:12" ht="57" hidden="1" customHeight="1" x14ac:dyDescent="0.2">
      <c r="A66" s="19" t="e">
        <f>#REF!</f>
        <v>#REF!</v>
      </c>
    </row>
    <row r="67" spans="1:12" ht="42.75" hidden="1" customHeight="1" x14ac:dyDescent="0.2">
      <c r="A67" s="19" t="e">
        <f>#REF!</f>
        <v>#REF!</v>
      </c>
    </row>
    <row r="68" spans="1:12" ht="15" hidden="1" customHeight="1" x14ac:dyDescent="0.2">
      <c r="A68" s="19" t="e">
        <f>#REF!</f>
        <v>#REF!</v>
      </c>
    </row>
    <row r="69" spans="1:12" ht="15" hidden="1" customHeight="1" x14ac:dyDescent="0.2">
      <c r="A69" s="19" t="e">
        <f>#REF!</f>
        <v>#REF!</v>
      </c>
    </row>
    <row r="70" spans="1:12" ht="15" hidden="1" customHeight="1" x14ac:dyDescent="0.2">
      <c r="A70" s="19" t="e">
        <f>#REF!</f>
        <v>#REF!</v>
      </c>
    </row>
    <row r="71" spans="1:12" ht="15" hidden="1" customHeight="1" x14ac:dyDescent="0.2">
      <c r="A71" s="19" t="e">
        <f>#REF!</f>
        <v>#REF!</v>
      </c>
    </row>
    <row r="72" spans="1:12" ht="15" hidden="1" customHeight="1" x14ac:dyDescent="0.2">
      <c r="A72" s="19" t="e">
        <f>#REF!</f>
        <v>#REF!</v>
      </c>
    </row>
    <row r="73" spans="1:12" ht="15" hidden="1" customHeight="1" x14ac:dyDescent="0.2"/>
    <row r="74" spans="1:12" ht="15" hidden="1" customHeight="1" x14ac:dyDescent="0.2"/>
    <row r="75" spans="1:12" ht="15" hidden="1" customHeight="1" x14ac:dyDescent="0.2"/>
    <row r="76" spans="1:12" ht="15" hidden="1" customHeight="1" x14ac:dyDescent="0.2"/>
    <row r="77" spans="1:12" ht="15" hidden="1" customHeight="1" x14ac:dyDescent="0.2"/>
    <row r="78" spans="1:12" ht="15" hidden="1" customHeight="1" x14ac:dyDescent="0.2"/>
    <row r="79" spans="1:12" ht="15" hidden="1" customHeight="1" x14ac:dyDescent="0.2"/>
    <row r="80" spans="1:12"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D28:D30 D53:D54"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C25:C28 C33:C37 C20 C30:C31 C39 C43 C45:C56 C58:C59 C61:C62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heetViews>
  <sheetFormatPr defaultColWidth="0" defaultRowHeight="0" customHeight="1" zeroHeight="1" x14ac:dyDescent="0.2"/>
  <cols>
    <col min="1" max="1" width="8.296875" style="24"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style="24" hidden="1"/>
  </cols>
  <sheetData>
    <row r="1" spans="1:12" ht="0" hidden="1" customHeight="1" x14ac:dyDescent="0.2">
      <c r="A1" s="24" t="s">
        <v>1504</v>
      </c>
    </row>
    <row r="2" spans="1:12" customFormat="1" ht="36" customHeight="1" x14ac:dyDescent="0.2">
      <c r="A2" s="169" t="s">
        <v>1429</v>
      </c>
      <c r="B2" s="169"/>
      <c r="C2" s="170"/>
      <c r="D2" s="309"/>
      <c r="E2" s="171"/>
      <c r="F2" s="171" t="str">
        <f>'Auto Responses'!$A$36</f>
        <v>Version 4.1.2</v>
      </c>
      <c r="G2" s="1"/>
      <c r="H2" s="1"/>
      <c r="I2" s="36"/>
      <c r="J2" s="1"/>
      <c r="K2" s="1"/>
      <c r="L2" s="1"/>
    </row>
    <row r="3" spans="1:12" s="1" customFormat="1" ht="29.1" customHeight="1" x14ac:dyDescent="0.2">
      <c r="A3" s="38" t="s">
        <v>975</v>
      </c>
      <c r="B3" s="39"/>
      <c r="C3" s="67" t="str">
        <f>'START HERE'!$C$3</f>
        <v>Oct 17 2025</v>
      </c>
      <c r="D3" s="310"/>
      <c r="E3" s="37"/>
      <c r="F3" s="51"/>
      <c r="I3" s="36"/>
    </row>
    <row r="4" spans="1:12" s="1" customFormat="1" ht="36" customHeight="1" x14ac:dyDescent="0.2">
      <c r="A4" s="11" t="s">
        <v>900</v>
      </c>
      <c r="B4" s="12"/>
      <c r="C4" s="13"/>
      <c r="D4" s="14"/>
      <c r="E4" s="15"/>
      <c r="F4" s="15"/>
      <c r="I4" s="36"/>
    </row>
    <row r="5" spans="1:12"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2"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2"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2" s="1" customFormat="1" ht="19.5" customHeight="1" x14ac:dyDescent="0.2">
      <c r="A8" s="43" t="str">
        <f>HLOOKUP($A$4,'Auto Responses'!$D$2:$D$8,5,0)&amp;""</f>
        <v>4. DO NOT complete any fields in the "Evaluation" sheets or the "Analyst Notes" column.</v>
      </c>
      <c r="B8" s="16"/>
      <c r="C8" s="68"/>
      <c r="D8" s="311"/>
      <c r="E8" s="16"/>
      <c r="F8" s="263"/>
      <c r="I8" s="36"/>
    </row>
    <row r="9" spans="1:12" s="1" customFormat="1" ht="19.5" customHeight="1" x14ac:dyDescent="0.2">
      <c r="A9" s="43" t="str">
        <f>HLOOKUP($A$4,'Auto Responses'!$D$2:$D$8,6,0)&amp;""</f>
        <v>5. Return the completed file to institutions.</v>
      </c>
      <c r="B9" s="16"/>
      <c r="C9" s="68"/>
      <c r="D9" s="311"/>
      <c r="E9" s="16"/>
      <c r="F9" s="263"/>
      <c r="I9" s="36"/>
    </row>
    <row r="10" spans="1:12"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2" s="1" customFormat="1" ht="19.5" customHeight="1" x14ac:dyDescent="0.2">
      <c r="A11" s="247" t="str">
        <f>HLOOKUP($A$4,'Auto Responses'!$D$2:$D$9,8,0)&amp;""</f>
        <v>For full instructions, please visit educause.edu/HECVAT</v>
      </c>
      <c r="B11" s="16"/>
      <c r="C11" s="68"/>
      <c r="D11" s="311"/>
      <c r="E11" s="16"/>
      <c r="F11" s="264"/>
      <c r="I11" s="36"/>
    </row>
    <row r="12" spans="1:12" s="1" customFormat="1" ht="36" customHeight="1" x14ac:dyDescent="0.2">
      <c r="A12" s="64" t="str">
        <f>VLOOKUP(LEFT($A13,4),'Auto Responses'!$N$4:$O$38,2,0)&amp;""</f>
        <v xml:space="preserve"> General Information</v>
      </c>
      <c r="B12" s="12"/>
      <c r="C12" s="13" t="s">
        <v>1555</v>
      </c>
      <c r="D12" s="312"/>
      <c r="E12" s="17"/>
      <c r="F12" s="17"/>
      <c r="I12" s="36"/>
      <c r="J12" s="36"/>
    </row>
    <row r="13" spans="1:12"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2"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2"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2" s="1" customFormat="1" ht="22.35" customHeight="1" thickBot="1" x14ac:dyDescent="0.25">
      <c r="A16" s="19" t="s">
        <v>30</v>
      </c>
      <c r="B16" s="20" t="str">
        <f>VLOOKUP($A16,Questions!$A$2:$X$333,2,0)&amp;""</f>
        <v>Country of Company Headquarters</v>
      </c>
      <c r="C16" s="77" t="str">
        <f>VLOOKUP($A16,'START HERE'!$A$13:$C$21,3,0)&amp;""</f>
        <v>Bloomington, Indiana</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68.25" customHeight="1" thickBot="1" x14ac:dyDescent="0.25">
      <c r="A18" s="19" t="s">
        <v>48</v>
      </c>
      <c r="B18" s="18" t="str">
        <f>VLOOKUP($A18,Questions!$A$2:$X$333,2,0)</f>
        <v>Are you offering a cloud-based product?</v>
      </c>
      <c r="C18" s="74" t="str">
        <f>VLOOKUP($A18,'START HERE'!$A$23:$F$36,3,0)&amp;""</f>
        <v>Yes</v>
      </c>
      <c r="D18" s="316" t="str">
        <f>VLOOKUP($A18,'START HERE'!$A$23:$F$36,4,0)&amp;""</f>
        <v>See Qualtrics HECVAT 2025 for details regarding Qualtrics documentation: https://bcsse.iu.edu/doc/bcsse/Qualtrics%20HECVAT%202025.xlsx</v>
      </c>
      <c r="E18" s="168" t="str">
        <f>IF($C18="Yes",VLOOKUP($A18,Questions!$A$2:$X$333,17,0)&amp;"",IF($C18="No",VLOOKUP($A18,Questions!$A$2:$X$333,16,0)&amp;"",VLOOKUP($A18,Questions!$A$2:$X$333,15,0)&amp;""))</f>
        <v>DO complete the Product and Infrastructure worksheets</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Application/Service Security</v>
      </c>
      <c r="B19" s="23"/>
      <c r="C19" s="13" t="s">
        <v>1555</v>
      </c>
      <c r="D19" s="13" t="s">
        <v>72</v>
      </c>
      <c r="E19" s="32" t="s">
        <v>883</v>
      </c>
      <c r="F19" s="188" t="s">
        <v>884</v>
      </c>
      <c r="I19" s="36"/>
      <c r="J19" s="36"/>
    </row>
    <row r="20" spans="1:10" s="1" customFormat="1" ht="97.5" customHeight="1" x14ac:dyDescent="0.2">
      <c r="A20" s="19" t="s">
        <v>162</v>
      </c>
      <c r="B20" s="18" t="str">
        <f>VLOOKUP($A20,Questions!$A$2:$X$333,2,0)</f>
        <v>Are access controls for institutional accounts based on structured rules, such as role-based access control (RBAC), attribute-based access control (ABAC), or policy-based access control (PBAC)?*</v>
      </c>
      <c r="C20" s="356" t="s">
        <v>40</v>
      </c>
      <c r="D20" s="359" t="s">
        <v>1805</v>
      </c>
      <c r="E20" s="168" t="str">
        <f>IF($C$18="No",'Auto Responses'!$A$3,IF($C20="Yes",VLOOKUP($A20,Questions!$A$2:$X$333,17,0)&amp;"",IF($C20="No",VLOOKUP($A20,Questions!$A$2:$X$333,16,0)&amp;"",VLOOKUP($A20,Questions!$A$2:$X$333,15,0)&amp;"")))</f>
        <v>Describe available roles.</v>
      </c>
      <c r="F20" s="202" t="str">
        <f>VLOOKUP($A20,'Institution Evaluation'!$A$56:$F$346,6,0)&amp;""</f>
        <v/>
      </c>
      <c r="I20" s="36"/>
      <c r="J20" s="36"/>
    </row>
    <row r="21" spans="1:10" s="1" customFormat="1" ht="120.75" customHeight="1" x14ac:dyDescent="0.2">
      <c r="A21" s="19" t="s">
        <v>167</v>
      </c>
      <c r="B21" s="18" t="str">
        <f>VLOOKUP($A21,Questions!$A$2:$X$333,2,0)</f>
        <v>Are you using a web application firewall (WAF)?*</v>
      </c>
      <c r="C21" s="356" t="s">
        <v>40</v>
      </c>
      <c r="D21" s="360" t="s">
        <v>1806</v>
      </c>
      <c r="E21" s="168" t="str">
        <f>IF($C$18="No",'Auto Responses'!$A$3,IF($C21="Yes",VLOOKUP($A21,Questions!$A$2:$X$333,17,0)&amp;"",IF($C21="No",VLOOKUP($A21,Questions!$A$2:$X$333,16,0)&amp;"",VLOOKUP($A21,Questions!$A$2:$X$333,15,0)&amp;"")))</f>
        <v>Describe the currently implemented WAF.</v>
      </c>
      <c r="F21" s="202" t="str">
        <f>VLOOKUP($A21,'Institution Evaluation'!$A$56:$F$346,6,0)&amp;""</f>
        <v/>
      </c>
      <c r="I21" s="36"/>
      <c r="J21" s="36"/>
    </row>
    <row r="22" spans="1:10" s="1" customFormat="1" ht="66.75" customHeight="1" x14ac:dyDescent="0.2">
      <c r="A22" s="19" t="s">
        <v>171</v>
      </c>
      <c r="B22" s="18" t="str">
        <f>VLOOKUP($A22,Questions!$A$2:$X$333,2,0)</f>
        <v>Are only currently supported operating system(s), software, and libraries leveraged by the system(s)/application(s) that will have access to institution's data?*</v>
      </c>
      <c r="C22" s="21" t="s">
        <v>40</v>
      </c>
      <c r="D22" s="317"/>
      <c r="E22" s="168" t="str">
        <f>IF($C$18="No",'Auto Responses'!$A$3,IF($C22="Yes",VLOOKUP($A22,Questions!$A$2:$X$333,17,0)&amp;"",IF($C22="No",VLOOKUP($A22,Questions!$A$2:$X$333,16,0)&amp;"",VLOOKUP($A22,Questions!$A$2:$X$333,15,0)&amp;"")))</f>
        <v>Please provide a list of all required dependencies.</v>
      </c>
      <c r="F22" s="202" t="str">
        <f>VLOOKUP($A22,'Institution Evaluation'!$A$56:$F$346,6,0)&amp;""</f>
        <v/>
      </c>
      <c r="I22" s="36"/>
      <c r="J22" s="36"/>
    </row>
    <row r="23" spans="1:10" s="1" customFormat="1" ht="38.25" customHeight="1" x14ac:dyDescent="0.2">
      <c r="A23" s="19" t="s">
        <v>176</v>
      </c>
      <c r="B23" s="18" t="str">
        <f>VLOOKUP($A23,Questions!$A$2:$X$333,2,0)</f>
        <v>Does your application require access to location or GPS data?*</v>
      </c>
      <c r="C23" s="21" t="s">
        <v>40</v>
      </c>
      <c r="D23" s="314" t="s">
        <v>1793</v>
      </c>
      <c r="E23" s="168" t="str">
        <f>IF($C$18="No",'Auto Responses'!$A$3,IF($C23="Yes",VLOOKUP($A23,Questions!$A$2:$X$333,17,0)&amp;"",IF($C23="No",VLOOKUP($A23,Questions!$A$2:$X$333,16,0)&amp;"",VLOOKUP($A23,Questions!$A$2:$X$333,15,0)&amp;"")))</f>
        <v>Please describe the reasons why in detail and state if that access can be limited to while your app is running.</v>
      </c>
      <c r="F23" s="202" t="str">
        <f>VLOOKUP($A23,'Institution Evaluation'!$A$56:$F$346,6,0)&amp;""</f>
        <v/>
      </c>
      <c r="I23" s="36"/>
      <c r="J23" s="36"/>
    </row>
    <row r="24" spans="1:10" s="1" customFormat="1" ht="109.5" customHeight="1" x14ac:dyDescent="0.2">
      <c r="A24" s="19" t="s">
        <v>179</v>
      </c>
      <c r="B24" s="18" t="str">
        <f>VLOOKUP($A24,Questions!$A$2:$X$333,2,0)</f>
        <v>Does your application provide separation of duties between security administration, system administration, and standard user functions?*</v>
      </c>
      <c r="C24" s="356" t="s">
        <v>40</v>
      </c>
      <c r="D24" s="360" t="s">
        <v>1822</v>
      </c>
      <c r="E24" s="168" t="str">
        <f>IF($C$18="No",'Auto Responses'!$A$3,IF($C24="Yes",VLOOKUP($A24,Questions!$A$2:$X$333,17,0)&amp;"",IF($C24="No",VLOOKUP($A24,Questions!$A$2:$X$333,16,0)&amp;"",VLOOKUP($A24,Questions!$A$2:$X$333,15,0)&amp;"")))</f>
        <v>Describe or provide a reference to the facilities available in the system to provide separation of duties between security administration and system administration functions.</v>
      </c>
      <c r="F24" s="202" t="str">
        <f>VLOOKUP($A24,'Institution Evaluation'!$A$56:$F$346,6,0)&amp;""</f>
        <v/>
      </c>
      <c r="I24" s="36"/>
      <c r="J24" s="36"/>
    </row>
    <row r="25" spans="1:10" s="1" customFormat="1" ht="60" x14ac:dyDescent="0.2">
      <c r="A25" s="19" t="s">
        <v>184</v>
      </c>
      <c r="B25" s="18" t="str">
        <f>VLOOKUP($A25,Questions!$A$2:$X$333,2,0)</f>
        <v>Do you subject your code to static code analysis and/or static application security testing prior to release?*</v>
      </c>
      <c r="C25" s="21" t="s">
        <v>149</v>
      </c>
      <c r="D25" s="35" t="s">
        <v>1790</v>
      </c>
      <c r="E25" s="168" t="str">
        <f>IF($C$18="No",'Auto Responses'!$A$3,IF($C25="Yes",VLOOKUP($A25,Questions!$A$2:$X$333,17,0)&amp;"",IF($C25="No",VLOOKUP($A25,Questions!$A$2:$X$333,16,0)&amp;"",VLOOKUP($A25,Questions!$A$2:$X$333,15,0)&amp;"")))</f>
        <v>State your plans to implement static code testing practices into your environment.</v>
      </c>
      <c r="F25" s="202" t="str">
        <f>VLOOKUP($A25,'Institution Evaluation'!$A$56:$F$346,6,0)&amp;""</f>
        <v/>
      </c>
      <c r="I25" s="36"/>
      <c r="J25" s="36"/>
    </row>
    <row r="26" spans="1:10" s="1" customFormat="1" ht="60" x14ac:dyDescent="0.2">
      <c r="A26" s="19" t="s">
        <v>188</v>
      </c>
      <c r="B26" s="18" t="str">
        <f>VLOOKUP($A26,Questions!$A$2:$X$333,2,0)</f>
        <v>Do you have software testing processes (dynamic or static) that are established and followed?*</v>
      </c>
      <c r="C26" s="21" t="s">
        <v>149</v>
      </c>
      <c r="D26" s="35" t="s">
        <v>1790</v>
      </c>
      <c r="E26" s="168" t="str">
        <f>IF($C$18="No",'Auto Responses'!$A$3,IF($C26="Yes",VLOOKUP($A26,Questions!$A$2:$X$333,17,0)&amp;"",IF($C26="No",VLOOKUP($A26,Questions!$A$2:$X$333,16,0)&amp;"",VLOOKUP($A26,Questions!$A$2:$X$333,15,0)&amp;"")))</f>
        <v>State your plans to implement software testing processes into your environment.</v>
      </c>
      <c r="F26" s="202" t="str">
        <f>VLOOKUP($A26,'Institution Evaluation'!$A$56:$F$346,6,0)&amp;""</f>
        <v/>
      </c>
      <c r="I26" s="36"/>
      <c r="J26" s="36"/>
    </row>
    <row r="27" spans="1:10" s="1" customFormat="1" ht="111" customHeight="1" x14ac:dyDescent="0.2">
      <c r="A27" s="19" t="s">
        <v>194</v>
      </c>
      <c r="B27" s="18" t="str">
        <f>VLOOKUP($A27,Questions!$A$2:$X$333,2,0)</f>
        <v>Are access controls for staff within your organization based on structured rules, such as RBAC, ABAC, or PBAC?</v>
      </c>
      <c r="C27" s="21" t="s">
        <v>149</v>
      </c>
      <c r="D27" s="35" t="s">
        <v>1790</v>
      </c>
      <c r="E27" s="168" t="str">
        <f>IF($C$18="No",'Auto Responses'!$A$3,IF($C27="Yes",VLOOKUP($A27,Questions!$A$2:$X$333,17,0)&amp;"",IF($C27="No",VLOOKUP($A27,Questions!$A$2:$X$333,16,0)&amp;"",VLOOKUP($A27,Questions!$A$2:$X$333,15,0)&amp;"")))</f>
        <v>Describe any limitations that prevent support for RBAC within your organization.</v>
      </c>
      <c r="F27" s="202" t="str">
        <f>VLOOKUP($A27,'Institution Evaluation'!$A$56:$F$346,6,0)&amp;""</f>
        <v/>
      </c>
      <c r="I27" s="36"/>
      <c r="J27" s="36"/>
    </row>
    <row r="28" spans="1:10" s="1" customFormat="1" ht="42.75" x14ac:dyDescent="0.2">
      <c r="A28" s="19" t="s">
        <v>198</v>
      </c>
      <c r="B28" s="18" t="str">
        <f>VLOOKUP($A28,Questions!$A$2:$X$333,2,0)</f>
        <v>Does the system provide data input validation and error messages?</v>
      </c>
      <c r="C28" s="356" t="s">
        <v>40</v>
      </c>
      <c r="D28" s="360" t="s">
        <v>1807</v>
      </c>
      <c r="E28" s="168" t="str">
        <f>IF($C$18="No",'Auto Responses'!$A$3,IF($C28="Yes",VLOOKUP($A28,Questions!$A$2:$X$333,17,0)&amp;"",IF($C28="No",VLOOKUP($A28,Questions!$A$2:$X$333,16,0)&amp;"",VLOOKUP($A28,Questions!$A$2:$X$333,15,0)&amp;"")))</f>
        <v>Describe how your system(s) provide data input validation and error messages.</v>
      </c>
      <c r="F28" s="202" t="str">
        <f>VLOOKUP($A28,'Institution Evaluation'!$A$56:$F$346,6,0)&amp;""</f>
        <v/>
      </c>
      <c r="I28" s="36"/>
      <c r="J28" s="36"/>
    </row>
    <row r="29" spans="1:10" s="1" customFormat="1" ht="60" x14ac:dyDescent="0.2">
      <c r="A29" s="19" t="s">
        <v>201</v>
      </c>
      <c r="B29" s="18" t="str">
        <f>VLOOKUP($A29,Questions!$A$2:$X$333,2,0)</f>
        <v>Do you have a process and implemented procedures for managing your software supply chain (e.g., libraries, repositories, frameworks, etc.)</v>
      </c>
      <c r="C29" s="21" t="s">
        <v>149</v>
      </c>
      <c r="D29" s="35" t="s">
        <v>1790</v>
      </c>
      <c r="E29" s="168" t="str">
        <f>IF($C$18="No",'Auto Responses'!$A$3,IF($C29="Yes",VLOOKUP($A29,Questions!$A$2:$X$333,17,0)&amp;"",IF($C29="No",VLOOKUP($A29,Questions!$A$2:$X$333,16,0)&amp;"",VLOOKUP($A29,Questions!$A$2:$X$333,15,0)&amp;"")))</f>
        <v>Briefly summarize your response.</v>
      </c>
      <c r="F29" s="202" t="str">
        <f>VLOOKUP($A29,'Institution Evaluation'!$A$56:$F$346,6,0)&amp;""</f>
        <v/>
      </c>
      <c r="I29" s="36"/>
      <c r="J29" s="36"/>
    </row>
    <row r="30" spans="1:10" s="1" customFormat="1" ht="60" x14ac:dyDescent="0.2">
      <c r="A30" s="19" t="s">
        <v>205</v>
      </c>
      <c r="B30" s="18" t="str">
        <f>VLOOKUP($A30,Questions!$A$2:$X$333,2,0)</f>
        <v>Have your developers been trained in secure coding techniques?</v>
      </c>
      <c r="C30" s="21" t="s">
        <v>149</v>
      </c>
      <c r="D30" s="35" t="s">
        <v>1790</v>
      </c>
      <c r="E30" s="168" t="str">
        <f>IF($C$18="No",'Auto Responses'!$A$3,IF($C30="Yes",VLOOKUP($A30,Questions!$A$2:$X$333,17,0)&amp;"",IF($C30="No",VLOOKUP($A30,Questions!$A$2:$X$333,16,0)&amp;"",VLOOKUP($A30,Questions!$A$2:$X$333,15,0)&amp;"")))</f>
        <v>State plans to implement a training program on industry standard secure coding practices.</v>
      </c>
      <c r="F30" s="202" t="str">
        <f>VLOOKUP($A30,'Institution Evaluation'!$A$56:$F$346,6,0)&amp;""</f>
        <v/>
      </c>
      <c r="I30" s="36"/>
      <c r="J30" s="36"/>
    </row>
    <row r="31" spans="1:10" s="1" customFormat="1" ht="60" x14ac:dyDescent="0.2">
      <c r="A31" s="19" t="s">
        <v>209</v>
      </c>
      <c r="B31" s="18" t="str">
        <f>VLOOKUP($A31,Questions!$A$2:$X$333,2,0)</f>
        <v>Was your application developed using secure coding techniques?</v>
      </c>
      <c r="C31" s="21" t="s">
        <v>149</v>
      </c>
      <c r="D31" s="35" t="s">
        <v>1790</v>
      </c>
      <c r="E31" s="168" t="str">
        <f>IF($C$18="No",'Auto Responses'!$A$3,IF($C31="Yes",VLOOKUP($A31,Questions!$A$2:$X$333,17,0)&amp;"",IF($C31="No",VLOOKUP($A31,Questions!$A$2:$X$333,16,0)&amp;"",VLOOKUP($A31,Questions!$A$2:$X$333,15,0)&amp;"")))</f>
        <v>State plans to update your application to adhere to industry secure coding practices.</v>
      </c>
      <c r="F31" s="202" t="str">
        <f>VLOOKUP($A31,'Institution Evaluation'!$A$56:$F$346,6,0)&amp;""</f>
        <v/>
      </c>
      <c r="I31" s="36"/>
      <c r="J31" s="36"/>
    </row>
    <row r="32" spans="1:10" s="1" customFormat="1" ht="60" x14ac:dyDescent="0.2">
      <c r="A32" s="19" t="s">
        <v>213</v>
      </c>
      <c r="B32" s="18" t="str">
        <f>VLOOKUP($A32,Questions!$A$2:$X$333,2,0)</f>
        <v>If mobile, is the application available from a trusted source (e.g., App Store, Google Play Store)?</v>
      </c>
      <c r="C32" s="21" t="s">
        <v>149</v>
      </c>
      <c r="D32" s="35" t="s">
        <v>1790</v>
      </c>
      <c r="E32" s="168" t="str">
        <f>IF($C$18="No",'Auto Responses'!$A$3,IF($C32="Yes",VLOOKUP($A32,Questions!$A$2:$X$333,17,0)&amp;"",IF($C32="No",VLOOKUP($A32,Questions!$A$2:$X$333,16,0)&amp;"",IF($C32="N/A",VLOOKUP($A32,Questions!$A$2:$X$333,18,0)&amp;"",VLOOKUP($A32,Questions!$A$2:$X$333,15,0)&amp;""))))</f>
        <v>Decribe how the application is distributed. Also, state any plans to publish the app to a trusted source.</v>
      </c>
      <c r="F32" s="202" t="str">
        <f>VLOOKUP($A32,'Institution Evaluation'!$A$56:$F$346,6,0)&amp;""</f>
        <v/>
      </c>
      <c r="I32" s="36"/>
      <c r="J32" s="36"/>
    </row>
    <row r="33" spans="1:10" s="1" customFormat="1" ht="60.75" thickBot="1" x14ac:dyDescent="0.25">
      <c r="A33" s="19" t="s">
        <v>216</v>
      </c>
      <c r="B33" s="18" t="str">
        <f>VLOOKUP($A33,Questions!$A$2:$X$333,2,0)</f>
        <v>Do you have a fully implemented policy or procedure that details how your employees obtain administrator access to institutional instance of the application?</v>
      </c>
      <c r="C33" s="21" t="s">
        <v>149</v>
      </c>
      <c r="D33" s="35" t="s">
        <v>1790</v>
      </c>
      <c r="E33" s="168" t="str">
        <f>IF($C$18="No",'Auto Responses'!$A$3,IF($C33="Yes",VLOOKUP($A33,Questions!$A$2:$X$333,17,0)&amp;"",IF($C33="No",VLOOKUP($A33,Questions!$A$2:$X$333,16,0)&amp;"",VLOOKUP($A33,Questions!$A$2:$X$333,15,0)&amp;"")))</f>
        <v>State plans to fully implement policy or procedure that details how administrator access is handled in your environment.</v>
      </c>
      <c r="F33" s="202" t="str">
        <f>VLOOKUP($A33,'Institution Evaluation'!$A$56:$F$346,6,0)&amp;""</f>
        <v/>
      </c>
      <c r="G33" s="239" t="s">
        <v>1505</v>
      </c>
      <c r="I33" s="36"/>
      <c r="J33" s="36"/>
    </row>
    <row r="34" spans="1:10" s="1" customFormat="1" ht="37.35" customHeight="1" thickBot="1" x14ac:dyDescent="0.25">
      <c r="A34" s="64" t="str">
        <f>VLOOKUP(LEFT($A35,4),'Auto Responses'!$N$4:$O$38,2,0)&amp;""</f>
        <v xml:space="preserve"> Datacenter</v>
      </c>
      <c r="B34" s="23"/>
      <c r="C34" s="13" t="s">
        <v>1555</v>
      </c>
      <c r="D34" s="13" t="s">
        <v>72</v>
      </c>
      <c r="E34" s="32" t="s">
        <v>883</v>
      </c>
      <c r="F34" s="188" t="s">
        <v>884</v>
      </c>
      <c r="I34" s="36"/>
      <c r="J34" s="36"/>
    </row>
    <row r="35" spans="1:10" s="1" customFormat="1" ht="28.5" x14ac:dyDescent="0.2">
      <c r="A35" s="19" t="s">
        <v>418</v>
      </c>
      <c r="B35" s="18" t="str">
        <f>VLOOKUP($A35,Questions!$A$2:$X$333,2,0)</f>
        <v>Select your hosting option.</v>
      </c>
      <c r="C35" s="75" t="s">
        <v>897</v>
      </c>
      <c r="D35" s="314" t="s">
        <v>1793</v>
      </c>
      <c r="E35" s="168" t="str">
        <f>IF(OR($C35="",$C35="Other"),VLOOKUP($A35,Questions!$A$2:$X$333,15,0),"")&amp;""</f>
        <v/>
      </c>
      <c r="F35" s="202" t="str">
        <f>VLOOKUP($A35,'Institution Evaluation'!$A$56:$F$346,6,0)&amp;""</f>
        <v/>
      </c>
      <c r="I35" s="36"/>
      <c r="J35" s="36"/>
    </row>
    <row r="36" spans="1:10" s="1" customFormat="1" ht="42.75" x14ac:dyDescent="0.2">
      <c r="A36" s="19" t="s">
        <v>423</v>
      </c>
      <c r="B36" s="18" t="str">
        <f>VLOOKUP($A36,Questions!$A$2:$X$333,2,0)</f>
        <v>Is a SOC 2 Type 2 report available for the hosting environment?</v>
      </c>
      <c r="C36" s="356" t="s">
        <v>40</v>
      </c>
      <c r="D36" s="361" t="s">
        <v>1808</v>
      </c>
      <c r="E36" s="168" t="str">
        <f>IF($C$35="","",IF(OR($C$35='Auto Responses'!$J$20,$C$35='Auto Responses'!$J$21,$C$35='Auto Responses'!$J$22),'Auto Responses'!$A$26,IF($C36="Yes",VLOOKUP($A36,Questions!$A$2:$X$333,17,0)&amp;"",IF($C36="No",VLOOKUP($A36,Questions!$A$2:$X$333,16,0)&amp;"",VLOOKUP($A36,Questions!$A$2:$X$333,15,0)&amp;""))))</f>
        <v>Based on the response to DCTR-01, this question does not apply to this product or service.</v>
      </c>
      <c r="F36" s="202" t="str">
        <f>VLOOKUP($A36,'Institution Evaluation'!$A$56:$F$346,6,0)&amp;""</f>
        <v/>
      </c>
      <c r="I36" s="36"/>
      <c r="J36" s="36"/>
    </row>
    <row r="37" spans="1:10" s="1" customFormat="1" ht="42.75" x14ac:dyDescent="0.2">
      <c r="A37" s="19" t="s">
        <v>425</v>
      </c>
      <c r="B37" s="18" t="str">
        <f>VLOOKUP($A37,Questions!$A$2:$X$333,2,0)</f>
        <v>Are you generally able to accommodate storing each institution's data within its geographic region?</v>
      </c>
      <c r="C37" s="21" t="s">
        <v>149</v>
      </c>
      <c r="D37" s="318"/>
      <c r="E37" s="168" t="str">
        <f>IF($C$35="","",IF($C37="Yes",VLOOKUP($A37,Questions!$A$2:$X$333,17,0)&amp;"",IF($C37="No",VLOOKUP($A37,Questions!$A$2:$X$333,16,0)&amp;"",VLOOKUP($A37,Questions!$A$2:$X$333,15,0)&amp;"")))</f>
        <v>Under what circumstances would institutional data leave a designated region or regions?</v>
      </c>
      <c r="F37" s="202" t="str">
        <f>VLOOKUP($A37,'Institution Evaluation'!$A$56:$F$346,6,0)&amp;""</f>
        <v/>
      </c>
      <c r="I37" s="36"/>
      <c r="J37" s="36"/>
    </row>
    <row r="38" spans="1:10" s="1" customFormat="1" ht="71.25" x14ac:dyDescent="0.2">
      <c r="A38" s="19" t="s">
        <v>428</v>
      </c>
      <c r="B38" s="18" t="str">
        <f>VLOOKUP($A38,Questions!$A$2:$X$333,2,0)</f>
        <v>Are the data centers staffed 24 hours a day, seven days a week (i.e., 24 x 7 x 365)?</v>
      </c>
      <c r="C38" s="21" t="s">
        <v>40</v>
      </c>
      <c r="D38" s="318" t="s">
        <v>1809</v>
      </c>
      <c r="E38" s="168" t="str">
        <f>IF($C$35="","",IF(OR($C$35='Auto Responses'!$J$20,$C$35='Auto Responses'!$J$21,$C$35='Auto Responses'!$J$22),'Auto Responses'!$A$26,IF($C38="Yes",VLOOKUP($A38,Questions!$A$2:$X$333,17,0)&amp;"",IF($C38="No",VLOOKUP($A38,Questions!$A$2:$X$333,16,0)&amp;"",VLOOKUP($A38,Questions!$A$2:$X$333,15,0)&amp;""))))</f>
        <v>Based on the response to DCTR-01, this question does not apply to this product or service.</v>
      </c>
      <c r="F38" s="202" t="str">
        <f>VLOOKUP($A38,'Institution Evaluation'!$A$56:$F$346,6,0)&amp;""</f>
        <v/>
      </c>
      <c r="I38" s="36"/>
      <c r="J38" s="36"/>
    </row>
    <row r="39" spans="1:10" s="1" customFormat="1" ht="71.25" x14ac:dyDescent="0.2">
      <c r="A39" s="19" t="s">
        <v>433</v>
      </c>
      <c r="B39" s="18" t="str">
        <f>VLOOKUP($A39,Questions!$A$2:$X$333,2,0)</f>
        <v>Are your servers separated from other companies via a physical barrier, such as a cage or hard walls?</v>
      </c>
      <c r="C39" s="21" t="s">
        <v>40</v>
      </c>
      <c r="D39" s="318" t="s">
        <v>1809</v>
      </c>
      <c r="E39" s="168" t="str">
        <f>IF($C$35="","",IF(OR($C$35='Auto Responses'!$J$17,$C$35='Auto Responses'!$J$19,$C$35='Auto Responses'!$J$20,$C$35='Auto Responses'!$J$21,$C$35='Auto Responses'!$J$22),'Auto Responses'!$A$26,IF($C39="Yes",VLOOKUP($A39,Questions!$A$2:$X$333,17,0)&amp;"",IF($C39="No",VLOOKUP($A39,Questions!$A$2:$X$333,16,0)&amp;"",VLOOKUP($A39,Questions!$A$2:$X$333,15,0)&amp;""))))</f>
        <v>Based on the response to DCTR-01, this question does not apply to this product or service.</v>
      </c>
      <c r="F39" s="202" t="str">
        <f>VLOOKUP($A39,'Institution Evaluation'!$A$56:$F$346,6,0)&amp;""</f>
        <v/>
      </c>
      <c r="I39" s="36"/>
      <c r="J39" s="36"/>
    </row>
    <row r="40" spans="1:10" s="1" customFormat="1" ht="71.25" x14ac:dyDescent="0.2">
      <c r="A40" s="19" t="s">
        <v>436</v>
      </c>
      <c r="B40" s="18" t="str">
        <f>VLOOKUP($A40,Questions!$A$2:$X$333,2,0)</f>
        <v>Does a physical barrier fully enclose the physical space, preventing unauthorized physical contact with any of your devices?*</v>
      </c>
      <c r="C40" s="21" t="s">
        <v>40</v>
      </c>
      <c r="D40" s="318" t="s">
        <v>1809</v>
      </c>
      <c r="E40" s="168" t="str">
        <f>IF($C$35="","",IF(OR($C$35='Auto Responses'!$J$19,$C$35='Auto Responses'!$J$20,$C$35='Auto Responses'!$J$21,$C$35='Auto Responses'!$J$22),'Auto Responses'!$A$26,IF($C40="Yes",VLOOKUP($A40,Questions!$A$2:$X$333,17,0)&amp;"",IF($C40="No",VLOOKUP($A40,Questions!$A$2:$X$333,16,0)&amp;"",VLOOKUP($A40,Questions!$A$2:$X$333,15,0)&amp;""))))</f>
        <v>Based on the response to DCTR-01, this question does not apply to this product or service.</v>
      </c>
      <c r="F40" s="202" t="str">
        <f>VLOOKUP($A40,'Institution Evaluation'!$A$56:$F$346,6,0)&amp;""</f>
        <v/>
      </c>
      <c r="I40" s="36"/>
      <c r="J40" s="36"/>
    </row>
    <row r="41" spans="1:10" s="1" customFormat="1" ht="71.25" x14ac:dyDescent="0.2">
      <c r="A41" s="19" t="s">
        <v>438</v>
      </c>
      <c r="B41" s="18" t="str">
        <f>VLOOKUP($A41,Questions!$A$2:$X$333,2,0)</f>
        <v>Are your primary and secondary data centers geographically diverse?</v>
      </c>
      <c r="C41" s="21" t="s">
        <v>40</v>
      </c>
      <c r="D41" s="318" t="s">
        <v>1809</v>
      </c>
      <c r="E41" s="168" t="str">
        <f>IF($C$35="","",IF($C41="Yes",VLOOKUP($A41,Questions!$A$2:$X$333,17,0)&amp;"",IF($C41="No",VLOOKUP($A41,Questions!$A$2:$X$333,16,0)&amp;"",VLOOKUP($A41,Questions!$A$2:$X$333,15,0)&amp;"")))</f>
        <v>State your primary and secondary data center locations. For cloud infrastructures, state the primary and secondary zones.</v>
      </c>
      <c r="F41" s="202" t="str">
        <f>VLOOKUP($A41,'Institution Evaluation'!$A$56:$F$346,6,0)&amp;""</f>
        <v/>
      </c>
      <c r="I41" s="36"/>
      <c r="J41" s="36"/>
    </row>
    <row r="42" spans="1:10" s="1" customFormat="1" ht="71.25" x14ac:dyDescent="0.2">
      <c r="A42" s="19" t="s">
        <v>443</v>
      </c>
      <c r="B42" s="18" t="str">
        <f>VLOOKUP($A42,Questions!$A$2:$X$333,2,0)</f>
        <v>Is the service hosted in a high-availability environment?</v>
      </c>
      <c r="C42" s="21" t="s">
        <v>40</v>
      </c>
      <c r="D42" s="318" t="s">
        <v>1809</v>
      </c>
      <c r="E42" s="168" t="str">
        <f>IF($C$35="","",IF($C42="Yes",VLOOKUP($A42,Questions!$A$2:$X$333,17,0)&amp;"",IF($C42="No",VLOOKUP($A42,Questions!$A$2:$X$333,16,0)&amp;"",VLOOKUP($A42,Questions!$A$2:$X$333,15,0)&amp;"")))</f>
        <v>Provide a summary to support your response selection.</v>
      </c>
      <c r="F42" s="202" t="str">
        <f>VLOOKUP($A42,'Institution Evaluation'!$A$56:$F$346,6,0)&amp;""</f>
        <v/>
      </c>
      <c r="I42" s="36"/>
      <c r="J42" s="36"/>
    </row>
    <row r="43" spans="1:10" s="1" customFormat="1" ht="71.25" x14ac:dyDescent="0.2">
      <c r="A43" s="19" t="s">
        <v>444</v>
      </c>
      <c r="B43" s="18" t="str">
        <f>VLOOKUP($A43,Questions!$A$2:$X$333,2,0)</f>
        <v>Is redundant power available for all data centers where institutional data will reside?</v>
      </c>
      <c r="C43" s="21" t="s">
        <v>40</v>
      </c>
      <c r="D43" s="318" t="s">
        <v>1809</v>
      </c>
      <c r="E43" s="168" t="str">
        <f>IF($C$35="","",IF(OR($C$35='Auto Responses'!$J$20,$C$35='Auto Responses'!$J$21,$C$35='Auto Responses'!$J$22),'Auto Responses'!$A$26,IF($C43="Yes",VLOOKUP($A43,Questions!$A$2:$X$333,17,0)&amp;"",IF($C43="No",VLOOKUP($A43,Questions!$A$2:$X$333,16,0)&amp;"",VLOOKUP($A43,Questions!$A$2:$X$333,15,0)&amp;""))))</f>
        <v>Based on the response to DCTR-01, this question does not apply to this product or service.</v>
      </c>
      <c r="F43" s="202" t="str">
        <f>VLOOKUP($A43,'Institution Evaluation'!$A$56:$F$346,6,0)&amp;""</f>
        <v/>
      </c>
      <c r="I43" s="36"/>
      <c r="J43" s="36"/>
    </row>
    <row r="44" spans="1:10" s="1" customFormat="1" ht="71.25" x14ac:dyDescent="0.2">
      <c r="A44" s="19" t="s">
        <v>445</v>
      </c>
      <c r="B44" s="18" t="str">
        <f>VLOOKUP($A44,Questions!$A$2:$X$333,2,0)</f>
        <v>Are redundant power strategies tested?*</v>
      </c>
      <c r="C44" s="21" t="s">
        <v>40</v>
      </c>
      <c r="D44" s="318" t="s">
        <v>1809</v>
      </c>
      <c r="E44" s="168" t="str">
        <f>IF($C$35="","",IF(OR($C$35='Auto Responses'!$J$20,$C$35='Auto Responses'!$J$21,$C$35='Auto Responses'!$J$22),'Auto Responses'!$A$26,IF($C44="Yes",VLOOKUP($A44,Questions!$A$2:$X$333,17,0)&amp;"",IF($C44="No",VLOOKUP($A44,Questions!$A$2:$X$333,16,0)&amp;"",VLOOKUP($A44,Questions!$A$2:$X$333,15,0)&amp;""))))</f>
        <v>Based on the response to DCTR-01, this question does not apply to this product or service.</v>
      </c>
      <c r="F44" s="202" t="str">
        <f>VLOOKUP($A44,'Institution Evaluation'!$A$56:$F$346,6,0)&amp;""</f>
        <v/>
      </c>
      <c r="I44" s="36"/>
      <c r="J44" s="36"/>
    </row>
    <row r="45" spans="1:10" s="1" customFormat="1" ht="71.25" x14ac:dyDescent="0.2">
      <c r="A45" s="19" t="s">
        <v>450</v>
      </c>
      <c r="B45" s="18" t="str">
        <f>VLOOKUP($A45,Questions!$A$2:$X$333,2,0)</f>
        <v>Does the center where the data will reside have cooling and fire-suppression systems that are active and regularly tested?</v>
      </c>
      <c r="C45" s="21" t="s">
        <v>40</v>
      </c>
      <c r="D45" s="318" t="s">
        <v>1809</v>
      </c>
      <c r="E45" s="168" t="str">
        <f>IF($C$35="","",IF(OR($C$35='Auto Responses'!$J$19,$C$35='Auto Responses'!$J$20,$C$35='Auto Responses'!$J$21,$C$35='Auto Responses'!$J$22,$C$35='Auto Responses'!$J$23),'Auto Responses'!$A$26,IF($C45="Yes",VLOOKUP($A45,Questions!$A$2:$X$333,17,0)&amp;"",IF($C45="No",VLOOKUP($A45,Questions!$A$2:$X$333,16,0)&amp;"",VLOOKUP($A45,Questions!$A$2:$X$333,15,0)&amp;""))))</f>
        <v>Based on the response to DCTR-01, this question does not apply to this product or service.</v>
      </c>
      <c r="F45" s="202" t="str">
        <f>VLOOKUP($A45,'Institution Evaluation'!$A$56:$F$346,6,0)&amp;""</f>
        <v/>
      </c>
      <c r="I45" s="36"/>
      <c r="J45" s="36"/>
    </row>
    <row r="46" spans="1:10" s="1" customFormat="1" ht="71.25" x14ac:dyDescent="0.2">
      <c r="A46" s="19" t="s">
        <v>453</v>
      </c>
      <c r="B46" s="18" t="str">
        <f>VLOOKUP($A46,Questions!$A$2:$X$333,2,0)</f>
        <v>Do you have Internet Service Provider (ISP) redundancy?</v>
      </c>
      <c r="C46" s="21" t="s">
        <v>40</v>
      </c>
      <c r="D46" s="318" t="s">
        <v>1809</v>
      </c>
      <c r="E46" s="168" t="str">
        <f>IF($C$35="","",IF(OR($C$35='Auto Responses'!$J$20,$C$35='Auto Responses'!$J$21,$C$35='Auto Responses'!$J$22),'Auto Responses'!$A$26,IF($C46="Yes",VLOOKUP($A46,Questions!$A$2:$X$333,17,0)&amp;"",IF($C46="No",VLOOKUP($A46,Questions!$A$2:$X$333,16,0)&amp;"",VLOOKUP($A46,Questions!$A$2:$X$333,15,0)&amp;""))))</f>
        <v>Based on the response to DCTR-01, this question does not apply to this product or service.</v>
      </c>
      <c r="F46" s="202" t="str">
        <f>VLOOKUP($A46,'Institution Evaluation'!$A$56:$F$346,6,0)&amp;""</f>
        <v/>
      </c>
      <c r="I46" s="36"/>
      <c r="J46" s="36"/>
    </row>
    <row r="47" spans="1:10" s="1" customFormat="1" ht="71.25" x14ac:dyDescent="0.2">
      <c r="A47" s="19" t="s">
        <v>457</v>
      </c>
      <c r="B47" s="18" t="str">
        <f>VLOOKUP($A47,Questions!$A$2:$X$333,2,0)</f>
        <v>Does every data center where the institution's data will reside have multiple telephone company or network provider entrances to the facility?</v>
      </c>
      <c r="C47" s="21" t="s">
        <v>40</v>
      </c>
      <c r="D47" s="318" t="s">
        <v>1809</v>
      </c>
      <c r="E47" s="168" t="str">
        <f>IF($C$35="","",IF(OR($C$35='Auto Responses'!$J$20,$C$35='Auto Responses'!$J$21,$C$35='Auto Responses'!$J$22),'Auto Responses'!$A$26,IF($C47="Yes",VLOOKUP($A47,Questions!$A$2:$X$333,17,0)&amp;"",IF($C47="No",VLOOKUP($A47,Questions!$A$2:$X$333,16,0)&amp;"",VLOOKUP($A47,Questions!$A$2:$X$333,15,0)&amp;""))))</f>
        <v>Based on the response to DCTR-01, this question does not apply to this product or service.</v>
      </c>
      <c r="F47" s="202" t="str">
        <f>VLOOKUP($A47,'Institution Evaluation'!$A$56:$F$346,6,0)&amp;""</f>
        <v/>
      </c>
      <c r="I47" s="36"/>
      <c r="J47" s="36"/>
    </row>
    <row r="48" spans="1:10" s="1" customFormat="1" ht="71.25" x14ac:dyDescent="0.2">
      <c r="A48" s="19" t="s">
        <v>459</v>
      </c>
      <c r="B48" s="18" t="str">
        <f>VLOOKUP($A48,Questions!$A$2:$X$333,2,0)</f>
        <v>Do you require multifactor authentication for all administrative accounts in your environment?</v>
      </c>
      <c r="C48" s="21" t="s">
        <v>40</v>
      </c>
      <c r="D48" s="318" t="s">
        <v>1809</v>
      </c>
      <c r="E48" s="168" t="str">
        <f>IF($C$35="","",IF($C48="Yes",VLOOKUP($A48,Questions!$A$2:$X$333,17,0)&amp;"",IF($C48="No",VLOOKUP($A48,Questions!$A$2:$X$333,16,0)&amp;"",VLOOKUP($A48,Questions!$A$2:$X$333,15,0)&amp;"")))</f>
        <v>State which model of MFA you are using.</v>
      </c>
      <c r="F48" s="202" t="str">
        <f>VLOOKUP($A48,'Institution Evaluation'!$A$56:$F$346,6,0)&amp;""</f>
        <v/>
      </c>
      <c r="I48" s="36"/>
      <c r="J48" s="36"/>
    </row>
    <row r="49" spans="1:10" s="1" customFormat="1" ht="60" x14ac:dyDescent="0.2">
      <c r="A49" s="19" t="s">
        <v>463</v>
      </c>
      <c r="B49" s="18" t="str">
        <f>VLOOKUP($A49,Questions!$A$2:$X$333,2,0)</f>
        <v>Are you using your cloud provider's available hardening tools or pre-hardened images?</v>
      </c>
      <c r="C49" s="21" t="s">
        <v>149</v>
      </c>
      <c r="D49" s="35" t="s">
        <v>1790</v>
      </c>
      <c r="E49" s="168" t="str">
        <f>IF($C$35="","",IF(OR($C$35='Auto Responses'!$J$17,$C$35='Auto Responses'!$J$18),'Auto Responses'!$A$26,IF($C49="Yes",VLOOKUP($A49,Questions!$A$2:$X$333,17,0)&amp;"",IF($C49="No",VLOOKUP($A49,Questions!$A$2:$X$333,16,0)&amp;"",VLOOKUP($A49,Questions!$A$2:$X$333,15,0)&amp;""))))</f>
        <v>Describe how you alternately harden your images.</v>
      </c>
      <c r="F49" s="202" t="str">
        <f>VLOOKUP($A49,'Institution Evaluation'!$A$56:$F$346,6,0)&amp;""</f>
        <v/>
      </c>
      <c r="I49" s="36"/>
      <c r="J49" s="36"/>
    </row>
    <row r="50" spans="1:10" s="1" customFormat="1" ht="52.5" customHeight="1" thickBot="1" x14ac:dyDescent="0.25">
      <c r="A50" s="19" t="s">
        <v>467</v>
      </c>
      <c r="B50" s="18" t="str">
        <f>VLOOKUP($A50,Questions!$A$2:$X$333,2,0)</f>
        <v>Does your cloud solution provider have access to your encryption keys?</v>
      </c>
      <c r="C50" s="21" t="s">
        <v>149</v>
      </c>
      <c r="D50" s="318"/>
      <c r="E50" s="168" t="str">
        <f>IF($C$35="","",IF(OR($C$35='Auto Responses'!$J$17,$C$35='Auto Responses'!$J$18),'Auto Responses'!$A$26,IF($C50="Yes",VLOOKUP($A50,Questions!$A$2:$X$333,17,0)&amp;"",IF($C50="No",VLOOKUP($A50,Questions!$A$2:$X$333,16,0)&amp;"",VLOOKUP($A50,Questions!$A$2:$X$333,15,0)&amp;""))))</f>
        <v>Describe your key management practices.</v>
      </c>
      <c r="F50" s="202" t="str">
        <f>VLOOKUP($A50,'Institution Evaluation'!$A$56:$F$346,6,0)&amp;""</f>
        <v/>
      </c>
      <c r="I50" s="36"/>
      <c r="J50" s="36"/>
    </row>
    <row r="51" spans="1:10" s="1" customFormat="1" ht="37.35" customHeight="1" thickBot="1" x14ac:dyDescent="0.25">
      <c r="A51" s="64" t="str">
        <f>VLOOKUP(LEFT($A52,4),'Auto Responses'!$N$4:$O$38,2,0)&amp;""</f>
        <v xml:space="preserve"> Firewalls, IDS, IPS, and Networking</v>
      </c>
      <c r="B51" s="23"/>
      <c r="C51" s="13" t="s">
        <v>1555</v>
      </c>
      <c r="D51" s="13" t="s">
        <v>72</v>
      </c>
      <c r="E51" s="32" t="s">
        <v>883</v>
      </c>
      <c r="F51" s="188" t="s">
        <v>884</v>
      </c>
      <c r="I51" s="36"/>
      <c r="J51" s="36"/>
    </row>
    <row r="52" spans="1:10" s="1" customFormat="1" ht="90" x14ac:dyDescent="0.2">
      <c r="A52" s="19" t="s">
        <v>473</v>
      </c>
      <c r="B52" s="18" t="str">
        <f>VLOOKUP($A52,Questions!$A$2:$X$333,2,0)</f>
        <v>Are you utilizing a stateful packet inspection (SPI) firewall?*</v>
      </c>
      <c r="C52" s="21" t="s">
        <v>40</v>
      </c>
      <c r="D52" s="35" t="s">
        <v>1810</v>
      </c>
      <c r="E52" s="168" t="str">
        <f>IF($C$18="No",'Auto Responses'!$A$3,IF($C52="Yes",VLOOKUP($A52,Questions!$A$2:$X$333,17,0)&amp;"",IF($C52="No",VLOOKUP($A52,Questions!$A$2:$X$333,16,0)&amp;"",VLOOKUP($A52,Questions!$A$2:$X$333,15,0)&amp;"")))</f>
        <v>Describe the currently implemented SPI firewall.</v>
      </c>
      <c r="F52" s="202" t="str">
        <f>VLOOKUP($A52,'Institution Evaluation'!$A$56:$F$346,6,0)&amp;""</f>
        <v/>
      </c>
      <c r="I52" s="36"/>
      <c r="J52" s="36"/>
    </row>
    <row r="53" spans="1:10" s="1" customFormat="1" ht="90" x14ac:dyDescent="0.2">
      <c r="A53" s="19" t="s">
        <v>476</v>
      </c>
      <c r="B53" s="18" t="str">
        <f>VLOOKUP($A53,Questions!$A$2:$X$333,2,0)</f>
        <v>Do you have a documented policy for firewall change requests?*</v>
      </c>
      <c r="C53" s="21" t="s">
        <v>40</v>
      </c>
      <c r="D53" s="35" t="s">
        <v>1810</v>
      </c>
      <c r="E53" s="168" t="str">
        <f>IF($C$18="No",'Auto Responses'!$A$3,IF($C53="Yes",VLOOKUP($A53,Questions!$A$2:$X$333,17,0)&amp;"",IF($C53="No",VLOOKUP($A53,Questions!$A$2:$X$333,16,0)&amp;"",VLOOKUP($A53,Questions!$A$2:$X$333,15,0)&amp;"")))</f>
        <v>Describe your documented firewall change request policy.</v>
      </c>
      <c r="F53" s="202" t="str">
        <f>VLOOKUP($A53,'Institution Evaluation'!$A$56:$F$346,6,0)&amp;""</f>
        <v/>
      </c>
      <c r="I53" s="36"/>
      <c r="J53" s="36"/>
    </row>
    <row r="54" spans="1:10" s="1" customFormat="1" ht="90" x14ac:dyDescent="0.2">
      <c r="A54" s="19" t="s">
        <v>481</v>
      </c>
      <c r="B54" s="18" t="str">
        <f>VLOOKUP($A54,Questions!$A$2:$X$333,2,0)</f>
        <v>Have you implemented an intrusion detection system (network-based)?*</v>
      </c>
      <c r="C54" s="21" t="s">
        <v>40</v>
      </c>
      <c r="D54" s="35" t="s">
        <v>1810</v>
      </c>
      <c r="E54" s="168" t="str">
        <f>IF($C$18="No",'Auto Responses'!$A$3,IF($C54="Yes",VLOOKUP($A54,Questions!$A$2:$X$333,17,0)&amp;"",IF($C54="No",VLOOKUP($A54,Questions!$A$2:$X$333,16,0)&amp;"",VLOOKUP($A54,Questions!$A$2:$X$333,15,0)&amp;"")))</f>
        <v>Describe the currently implemented IDS.</v>
      </c>
      <c r="F54" s="202" t="str">
        <f>VLOOKUP($A54,'Institution Evaluation'!$A$56:$F$346,6,0)&amp;""</f>
        <v/>
      </c>
      <c r="I54" s="36"/>
      <c r="J54" s="36"/>
    </row>
    <row r="55" spans="1:10" s="1" customFormat="1" ht="90" x14ac:dyDescent="0.2">
      <c r="A55" s="19" t="s">
        <v>486</v>
      </c>
      <c r="B55" s="18" t="str">
        <f>VLOOKUP($A55,Questions!$A$2:$X$333,2,0)</f>
        <v>Do you employ host-based intrusion detection?*</v>
      </c>
      <c r="C55" s="21" t="s">
        <v>40</v>
      </c>
      <c r="D55" s="35" t="s">
        <v>1810</v>
      </c>
      <c r="E55" s="168" t="str">
        <f>IF($C$18="No",'Auto Responses'!$A$3,IF($C55="Yes",VLOOKUP($A55,Questions!$A$2:$X$333,17,0)&amp;"",IF($C55="No",VLOOKUP($A55,Questions!$A$2:$X$333,16,0)&amp;"",IF($C55="N/A",VLOOKUP($A55,Questions!$A$2:$X$333,18,0)&amp;"",VLOOKUP($A55,Questions!$A$2:$X$333,15,0)&amp;""))))</f>
        <v>Describe the currently implemented host-based IDS solution(s).</v>
      </c>
      <c r="F55" s="202" t="str">
        <f>VLOOKUP($A55,'Institution Evaluation'!$A$56:$F$346,6,0)&amp;""</f>
        <v/>
      </c>
      <c r="I55" s="36"/>
      <c r="J55" s="36"/>
    </row>
    <row r="56" spans="1:10" s="1" customFormat="1" ht="90" x14ac:dyDescent="0.2">
      <c r="A56" s="19" t="s">
        <v>489</v>
      </c>
      <c r="B56" s="18" t="str">
        <f>VLOOKUP($A56,Questions!$A$2:$X$333,2,0)</f>
        <v>Are audit logs available for all changes to the network, firewall, IDS, and IPS systems?*</v>
      </c>
      <c r="C56" s="21" t="s">
        <v>40</v>
      </c>
      <c r="D56" s="35" t="s">
        <v>1810</v>
      </c>
      <c r="E56" s="168" t="str">
        <f>IF($C$18="No",'Auto Responses'!$A$3,IF($C56="Yes",VLOOKUP($A56,Questions!$A$2:$X$333,17,0)&amp;"",IF($C56="No",VLOOKUP($A56,Questions!$A$2:$X$333,16,0)&amp;"",VLOOKUP($A56,Questions!$A$2:$X$333,15,0)&amp;"")))</f>
        <v>Describe your current network systems logging strategy.</v>
      </c>
      <c r="F56" s="202" t="str">
        <f>VLOOKUP($A56,'Institution Evaluation'!$A$56:$F$346,6,0)&amp;""</f>
        <v/>
      </c>
      <c r="I56" s="36"/>
      <c r="J56" s="36"/>
    </row>
    <row r="57" spans="1:10" s="1" customFormat="1" ht="90" x14ac:dyDescent="0.2">
      <c r="A57" s="19" t="s">
        <v>491</v>
      </c>
      <c r="B57" s="18" t="str">
        <f>VLOOKUP($A57,Questions!$A$2:$X$333,2,0)</f>
        <v>Is authority for firewall change approval documented? Please list approver names or titles in Additional Info.</v>
      </c>
      <c r="C57" s="21" t="s">
        <v>40</v>
      </c>
      <c r="D57" s="35" t="s">
        <v>1810</v>
      </c>
      <c r="E57" s="168" t="str">
        <f>IF($C$18="No",'Auto Responses'!$A$3,IF($C57="Yes",VLOOKUP($A57,Questions!$A$2:$X$333,17,0)&amp;"",IF($C57="No",VLOOKUP($A57,Questions!$A$2:$X$333,16,0)&amp;"",VLOOKUP($A57,Questions!$A$2:$X$333,15,0)&amp;"")))</f>
        <v>List approver names or titles.</v>
      </c>
      <c r="F57" s="202" t="str">
        <f>VLOOKUP($A57,'Institution Evaluation'!$A$56:$F$346,6,0)&amp;""</f>
        <v/>
      </c>
      <c r="I57" s="36"/>
      <c r="J57" s="36"/>
    </row>
    <row r="58" spans="1:10" s="1" customFormat="1" ht="90" x14ac:dyDescent="0.2">
      <c r="A58" s="19" t="s">
        <v>493</v>
      </c>
      <c r="B58" s="18" t="str">
        <f>VLOOKUP($A58,Questions!$A$2:$X$333,2,0)</f>
        <v>Have you implemented an intrusion prevention system (network-based)?</v>
      </c>
      <c r="C58" s="21" t="s">
        <v>40</v>
      </c>
      <c r="D58" s="35" t="s">
        <v>1810</v>
      </c>
      <c r="E58" s="168" t="str">
        <f>IF($C$18="No",'Auto Responses'!$A$3,IF($C58="Yes",VLOOKUP($A58,Questions!$A$2:$X$333,17,0)&amp;"",IF($C58="No",VLOOKUP($A58,Questions!$A$2:$X$333,16,0)&amp;"",VLOOKUP($A58,Questions!$A$2:$X$333,15,0)&amp;"")))</f>
        <v>Describe the currently implemented IPS.</v>
      </c>
      <c r="F58" s="202" t="str">
        <f>VLOOKUP($A58,'Institution Evaluation'!$A$56:$F$346,6,0)&amp;""</f>
        <v/>
      </c>
      <c r="I58" s="36"/>
      <c r="J58" s="36"/>
    </row>
    <row r="59" spans="1:10" s="1" customFormat="1" ht="90" x14ac:dyDescent="0.2">
      <c r="A59" s="19" t="s">
        <v>496</v>
      </c>
      <c r="B59" s="18" t="str">
        <f>VLOOKUP($A59,Questions!$A$2:$X$333,2,0)</f>
        <v>Do you employ host-based intrusion prevention?</v>
      </c>
      <c r="C59" s="21" t="s">
        <v>40</v>
      </c>
      <c r="D59" s="35" t="s">
        <v>1810</v>
      </c>
      <c r="E59" s="168" t="str">
        <f>IF($C$18="No",'Auto Responses'!$A$3,IF($C59="Yes",VLOOKUP($A59,Questions!$A$2:$X$333,17,0)&amp;"",IF($C59="No",VLOOKUP($A59,Questions!$A$2:$X$333,16,0)&amp;"",IF($C59="N/A",VLOOKUP($A59,Questions!$A$2:$X$333,18,0)&amp;"",VLOOKUP($A59,Questions!$A$2:$X$333,15,0)&amp;""))))</f>
        <v>Describe the currently implemented host-based IPS solution(s).</v>
      </c>
      <c r="F59" s="202" t="str">
        <f>VLOOKUP($A59,'Institution Evaluation'!$A$56:$F$346,6,0)&amp;""</f>
        <v/>
      </c>
      <c r="I59" s="36"/>
      <c r="J59" s="36"/>
    </row>
    <row r="60" spans="1:10" s="1" customFormat="1" ht="90" x14ac:dyDescent="0.2">
      <c r="A60" s="19" t="s">
        <v>501</v>
      </c>
      <c r="B60" s="18" t="str">
        <f>VLOOKUP($A60,Questions!$A$2:$X$333,2,0)</f>
        <v>Are you employing any next-generation persistent threat (NGPT) monitoring?</v>
      </c>
      <c r="C60" s="21" t="s">
        <v>40</v>
      </c>
      <c r="D60" s="35" t="s">
        <v>1810</v>
      </c>
      <c r="E60" s="168" t="str">
        <f>IF($C$18="No",'Auto Responses'!$A$3,IF($C60="Yes",VLOOKUP($A60,Questions!$A$2:$X$333,17,0)&amp;"",IF($C60="No",VLOOKUP($A60,Questions!$A$2:$X$333,16,0)&amp;"",VLOOKUP($A60,Questions!$A$2:$X$333,15,0)&amp;"")))</f>
        <v>Describe your NGPT monitoring strategy.</v>
      </c>
      <c r="F60" s="202" t="str">
        <f>VLOOKUP($A60,'Institution Evaluation'!$A$56:$F$346,6,0)&amp;""</f>
        <v/>
      </c>
      <c r="I60" s="36"/>
      <c r="J60" s="36"/>
    </row>
    <row r="61" spans="1:10" s="1" customFormat="1" ht="90" x14ac:dyDescent="0.2">
      <c r="A61" s="19" t="s">
        <v>506</v>
      </c>
      <c r="B61" s="18" t="str">
        <f>VLOOKUP($A61,Questions!$A$2:$X$333,2,0)</f>
        <v>Is intrusion monitoring performed internally or by a third-party service?</v>
      </c>
      <c r="C61" s="78" t="s">
        <v>40</v>
      </c>
      <c r="D61" s="35" t="s">
        <v>1810</v>
      </c>
      <c r="E61" s="168" t="str">
        <f>IF($C$18="No",'Auto Responses'!$A$3,IF($C61="Yes",VLOOKUP($A61,Questions!$A$2:$X$333,17,0)&amp;"",IF($C61="No",VLOOKUP($A61,Questions!$A$2:$X$333,16,0)&amp;"",VLOOKUP($A61,Questions!$A$2:$X$333,15,0)&amp;"")))</f>
        <v>In addition to stating your intrusion monitoring strategy, provide a brief summary of its implementation.</v>
      </c>
      <c r="F61" s="202" t="str">
        <f>VLOOKUP($A61,'Institution Evaluation'!$A$56:$F$346,6,0)&amp;""</f>
        <v/>
      </c>
      <c r="I61" s="36"/>
      <c r="J61" s="36"/>
    </row>
    <row r="62" spans="1:10" s="1" customFormat="1" ht="90.75" thickBot="1" x14ac:dyDescent="0.25">
      <c r="A62" s="19" t="s">
        <v>510</v>
      </c>
      <c r="B62" s="18" t="str">
        <f>VLOOKUP($A62,Questions!$A$2:$X$333,2,0)</f>
        <v>Do you monitor for intrusions on a 24 x 7 x 365 basis?</v>
      </c>
      <c r="C62" s="21" t="s">
        <v>40</v>
      </c>
      <c r="D62" s="35" t="s">
        <v>1810</v>
      </c>
      <c r="E62" s="168" t="str">
        <f>IF($C$18="No",'Auto Responses'!$A$3,IF($C62="Yes",VLOOKUP($A62,Questions!$A$2:$X$333,17,0)&amp;"",IF($C62="No",VLOOKUP($A62,Questions!$A$2:$X$333,16,0)&amp;"",VLOOKUP($A62,Questions!$A$2:$X$333,15,0)&amp;"")))</f>
        <v>Provide a brief summary of this activity.</v>
      </c>
      <c r="F62" s="202" t="str">
        <f>VLOOKUP($A62,'Institution Evaluation'!$A$56:$F$346,6,0)&amp;""</f>
        <v/>
      </c>
      <c r="G62" s="239" t="s">
        <v>1505</v>
      </c>
      <c r="I62" s="36"/>
      <c r="J62" s="36"/>
    </row>
    <row r="63" spans="1:10" s="1" customFormat="1" ht="37.35" customHeight="1" thickBot="1" x14ac:dyDescent="0.25">
      <c r="A63" s="64" t="str">
        <f>VLOOKUP(LEFT($A64,4),'Auto Responses'!$N$4:$O$38,2,0)&amp;""</f>
        <v xml:space="preserve"> Incident Handling</v>
      </c>
      <c r="B63" s="23"/>
      <c r="C63" s="13" t="s">
        <v>1555</v>
      </c>
      <c r="D63" s="13" t="s">
        <v>72</v>
      </c>
      <c r="E63" s="32" t="s">
        <v>883</v>
      </c>
      <c r="F63" s="188" t="s">
        <v>884</v>
      </c>
      <c r="I63" s="36"/>
      <c r="J63" s="36"/>
    </row>
    <row r="64" spans="1:10" s="1" customFormat="1" ht="90" x14ac:dyDescent="0.2">
      <c r="A64" s="19" t="s">
        <v>570</v>
      </c>
      <c r="B64" s="18" t="str">
        <f>VLOOKUP($A64,Questions!$A$2:$X$333,2,0)</f>
        <v>Do you have a formal incident response plan?</v>
      </c>
      <c r="C64" s="21" t="s">
        <v>40</v>
      </c>
      <c r="D64" s="35" t="s">
        <v>1810</v>
      </c>
      <c r="E64" s="168" t="str">
        <f>IF($C$18="No",'Auto Responses'!$A$3,IF($C64="Yes",VLOOKUP($A64,Questions!$A$2:$X$333,17,0)&amp;"",IF($C64="No",VLOOKUP($A64,Questions!$A$2:$X$333,16,0)&amp;"",VLOOKUP($A64,Questions!$A$2:$X$333,15,0)&amp;"")))</f>
        <v>Summarize or provide a link to your formal incident response plan.</v>
      </c>
      <c r="F64" s="202" t="str">
        <f>VLOOKUP($A64,'Institution Evaluation'!$A$56:$F$346,6,0)&amp;""</f>
        <v/>
      </c>
      <c r="I64" s="36"/>
      <c r="J64" s="36"/>
    </row>
    <row r="65" spans="1:12" s="1" customFormat="1" ht="90" x14ac:dyDescent="0.2">
      <c r="A65" s="19" t="s">
        <v>574</v>
      </c>
      <c r="B65" s="18" t="str">
        <f>VLOOKUP($A65,Questions!$A$2:$X$333,2,0)</f>
        <v>Do you either have an internal incident response team or retain an external team?</v>
      </c>
      <c r="C65" s="21" t="s">
        <v>40</v>
      </c>
      <c r="D65" s="35" t="s">
        <v>1810</v>
      </c>
      <c r="E65" s="168" t="str">
        <f>IF($C$18="No",'Auto Responses'!$A$3,IF($C65="Yes",VLOOKUP($A65,Questions!$A$2:$X$333,17,0)&amp;"",IF($C65="No",VLOOKUP($A65,Questions!$A$2:$X$333,16,0)&amp;"",VLOOKUP($A65,Questions!$A$2:$X$333,15,0)&amp;"")))</f>
        <v>Summarize your incident response and reporting processes.</v>
      </c>
      <c r="F65" s="202" t="str">
        <f>VLOOKUP($A65,'Institution Evaluation'!$A$56:$F$346,6,0)&amp;""</f>
        <v/>
      </c>
      <c r="I65" s="36"/>
      <c r="J65" s="36"/>
    </row>
    <row r="66" spans="1:12" s="1" customFormat="1" ht="90" x14ac:dyDescent="0.2">
      <c r="A66" s="19" t="s">
        <v>578</v>
      </c>
      <c r="B66" s="18" t="str">
        <f>VLOOKUP($A66,Questions!$A$2:$X$333,2,0)</f>
        <v>Do you have the capability to respond to incidents on a 24 x 7 x 365 basis?</v>
      </c>
      <c r="C66" s="21" t="s">
        <v>40</v>
      </c>
      <c r="D66" s="35" t="s">
        <v>1810</v>
      </c>
      <c r="E66" s="168" t="str">
        <f>IF($C$18="No",'Auto Responses'!$A$3,IF($C66="Yes",VLOOKUP($A66,Questions!$A$2:$X$333,17,0)&amp;"",IF($C66="No",VLOOKUP($A66,Questions!$A$2:$X$333,16,0)&amp;"",VLOOKUP($A66,Questions!$A$2:$X$333,15,0)&amp;"")))</f>
        <v>Summarize your internal approach or reference your third-party contractor.</v>
      </c>
      <c r="F66" s="202" t="str">
        <f>VLOOKUP($A66,'Institution Evaluation'!$A$56:$F$346,6,0)&amp;""</f>
        <v/>
      </c>
      <c r="I66" s="36"/>
      <c r="J66" s="36"/>
    </row>
    <row r="67" spans="1:12" s="1" customFormat="1" ht="111.75" customHeight="1" thickBot="1" x14ac:dyDescent="0.25">
      <c r="A67" s="19" t="s">
        <v>582</v>
      </c>
      <c r="B67" s="18" t="str">
        <f>VLOOKUP($A67,Questions!$A$2:$X$333,2,0)</f>
        <v>Do you carry cyber-risk insurance to protect against unforeseen service outages, data that is lost or stolen, and security incidents?</v>
      </c>
      <c r="C67" s="21" t="s">
        <v>40</v>
      </c>
      <c r="D67" s="318" t="s">
        <v>1811</v>
      </c>
      <c r="E67" s="168" t="str">
        <f>IF($C$18="No",'Auto Responses'!$A$3,IF($C67="Yes",VLOOKUP($A67,Questions!$A$2:$X$333,17,0)&amp;"",IF($C67="No",VLOOKUP($A67,Questions!$A$2:$X$333,16,0)&amp;"",VLOOKUP($A67,Questions!$A$2:$X$333,15,0)&amp;"")))</f>
        <v>Describe the coverage in place for this solution.</v>
      </c>
      <c r="F67" s="202" t="str">
        <f>VLOOKUP($A67,'Institution Evaluation'!$A$56:$F$346,6,0)&amp;""</f>
        <v/>
      </c>
      <c r="G67" s="239" t="s">
        <v>1505</v>
      </c>
      <c r="I67" s="36"/>
      <c r="J67" s="36"/>
    </row>
    <row r="68" spans="1:12" s="1" customFormat="1" ht="37.35" customHeight="1" thickBot="1" x14ac:dyDescent="0.25">
      <c r="A68" s="64" t="str">
        <f>VLOOKUP(LEFT($A69,4),'Auto Responses'!$N$4:$O$38,2,0)&amp;""</f>
        <v xml:space="preserve"> Vulnerability Management</v>
      </c>
      <c r="B68" s="23"/>
      <c r="C68" s="13" t="s">
        <v>1555</v>
      </c>
      <c r="D68" s="13" t="s">
        <v>72</v>
      </c>
      <c r="E68" s="32" t="s">
        <v>883</v>
      </c>
      <c r="F68" s="188" t="s">
        <v>884</v>
      </c>
      <c r="I68" s="36"/>
      <c r="J68" s="36"/>
    </row>
    <row r="69" spans="1:12" s="1" customFormat="1" ht="90" x14ac:dyDescent="0.2">
      <c r="A69" s="19" t="s">
        <v>585</v>
      </c>
      <c r="B69" s="18" t="str">
        <f>VLOOKUP($A69,Questions!$A$2:$X$333,2,0)</f>
        <v>Are your systems and applications scanned with an authenticated user account for vulnerabilities (that are remediated) prior to new releases?*</v>
      </c>
      <c r="C69" s="21" t="s">
        <v>40</v>
      </c>
      <c r="D69" s="35" t="s">
        <v>1810</v>
      </c>
      <c r="E69" s="168" t="str">
        <f>IF($C$18="No",'Auto Responses'!$A$3,IF($C69="Yes",VLOOKUP($A69,Questions!$A$2:$X$333,17,0)&amp;"",IF($C69="No",VLOOKUP($A69,Questions!$A$2:$X$333,16,0)&amp;"",VLOOKUP($A69,Questions!$A$2:$X$333,15,0)&amp;"")))</f>
        <v>Provide a brief description.</v>
      </c>
      <c r="F69" s="202" t="str">
        <f>VLOOKUP($A69,'Institution Evaluation'!$A$56:$F$346,6,0)&amp;""</f>
        <v/>
      </c>
      <c r="I69" s="36"/>
      <c r="J69" s="36"/>
    </row>
    <row r="70" spans="1:12" s="1" customFormat="1" ht="90" x14ac:dyDescent="0.2">
      <c r="A70" s="19" t="s">
        <v>589</v>
      </c>
      <c r="B70" s="18" t="str">
        <f>VLOOKUP($A70,Questions!$A$2:$X$333,2,0)</f>
        <v>Will you provide results of application and system vulnerability scans to the institution?*</v>
      </c>
      <c r="C70" s="21" t="s">
        <v>40</v>
      </c>
      <c r="D70" s="35" t="s">
        <v>1810</v>
      </c>
      <c r="E70" s="168" t="str">
        <f>IF($C$18="No",'Auto Responses'!$A$3,IF($C70="Yes",VLOOKUP($A70,Questions!$A$2:$X$333,17,0)&amp;"",IF($C70="No",VLOOKUP($A70,Questions!$A$2:$X$333,16,0)&amp;"",VLOOKUP($A70,Questions!$A$2:$X$333,15,0)&amp;"")))</f>
        <v>Provide a reference to security scan documentation.</v>
      </c>
      <c r="F70" s="202" t="str">
        <f>VLOOKUP($A70,'Institution Evaluation'!$A$56:$F$346,6,0)&amp;""</f>
        <v/>
      </c>
      <c r="I70" s="36"/>
      <c r="J70" s="36"/>
    </row>
    <row r="71" spans="1:12" s="1" customFormat="1" ht="90" x14ac:dyDescent="0.2">
      <c r="A71" s="19" t="s">
        <v>593</v>
      </c>
      <c r="B71" s="18" t="str">
        <f>VLOOKUP($A71,Questions!$A$2:$X$333,2,0)</f>
        <v>Will you allow the institution to perform its own vulnerability testing and/or scanning of your systems and/or application, provided that testing is performed at a mutually agreed upon time and date?*</v>
      </c>
      <c r="C71" s="21" t="s">
        <v>40</v>
      </c>
      <c r="D71" s="35" t="s">
        <v>1810</v>
      </c>
      <c r="E71" s="168" t="str">
        <f>IF($C$18="No",'Auto Responses'!$A$3,IF($C71="Yes",VLOOKUP($A71,Questions!$A$2:$X$333,17,0)&amp;"",IF($C71="No",VLOOKUP($A71,Questions!$A$2:$X$333,16,0)&amp;"",VLOOKUP($A71,Questions!$A$2:$X$333,15,0)&amp;"")))</f>
        <v>Provide reference to the process or procedure to set up security testing times and scopes.</v>
      </c>
      <c r="F71" s="202" t="str">
        <f>VLOOKUP($A71,'Institution Evaluation'!$A$56:$F$346,6,0)&amp;""</f>
        <v/>
      </c>
      <c r="I71" s="36"/>
      <c r="J71" s="36"/>
    </row>
    <row r="72" spans="1:12" s="1" customFormat="1" ht="90" x14ac:dyDescent="0.2">
      <c r="A72" s="19" t="s">
        <v>596</v>
      </c>
      <c r="B72" s="18" t="str">
        <f>VLOOKUP($A72,Questions!$A$2:$X$333,2,0)</f>
        <v>Have your systems and applications had a third-party security assessment completed in the last year?</v>
      </c>
      <c r="C72" s="21" t="s">
        <v>40</v>
      </c>
      <c r="D72" s="35" t="s">
        <v>1810</v>
      </c>
      <c r="E72" s="168" t="str">
        <f>IF($C$18="No",'Auto Responses'!$A$3,IF($C72="Yes",VLOOKUP($A72,Questions!$A$2:$X$333,17,0)&amp;"",IF($C72="No",VLOOKUP($A72,Questions!$A$2:$X$333,16,0)&amp;"",VLOOKUP($A72,Questions!$A$2:$X$333,15,0)&amp;"")))</f>
        <v>Provide the results with this document (link or attached), if possible. State the date of the last completed third-party security assessment.</v>
      </c>
      <c r="F72" s="202" t="str">
        <f>VLOOKUP($A72,'Institution Evaluation'!$A$56:$F$346,6,0)&amp;""</f>
        <v/>
      </c>
      <c r="I72" s="36"/>
      <c r="J72" s="36"/>
    </row>
    <row r="73" spans="1:12" s="1" customFormat="1" ht="90" x14ac:dyDescent="0.2">
      <c r="A73" s="19" t="s">
        <v>599</v>
      </c>
      <c r="B73" s="18" t="str">
        <f>VLOOKUP($A73,Questions!$A$2:$X$333,2,0)</f>
        <v>Do you regularly scan for common web application security vulnerabilities (e.g., SQL injection, XSS, XSRF, etc.)?</v>
      </c>
      <c r="C73" s="21" t="s">
        <v>40</v>
      </c>
      <c r="D73" s="35" t="s">
        <v>1810</v>
      </c>
      <c r="E73" s="168" t="str">
        <f>IF($C$18="No",'Auto Responses'!$A$3,IF($C73="Yes",VLOOKUP($A73,Questions!$A$2:$X$333,17,0)&amp;"",IF($C73="No",VLOOKUP($A73,Questions!$A$2:$X$333,16,0)&amp;"",VLOOKUP($A73,Questions!$A$2:$X$333,15,0)&amp;"")))</f>
        <v>Ensure that all elements of VULN-05 are clearly stated in your response.</v>
      </c>
      <c r="F73" s="202" t="str">
        <f>VLOOKUP($A73,'Institution Evaluation'!$A$56:$F$346,6,0)&amp;""</f>
        <v/>
      </c>
      <c r="I73" s="36"/>
      <c r="J73" s="36"/>
    </row>
    <row r="74" spans="1:12" s="1" customFormat="1" ht="90" x14ac:dyDescent="0.2">
      <c r="A74" s="19" t="s">
        <v>601</v>
      </c>
      <c r="B74" s="18" t="str">
        <f>VLOOKUP($A74,Questions!$A$2:$X$333,2,0)</f>
        <v>Are your systems and applications regularly scanned externally for vulnerabilities?</v>
      </c>
      <c r="C74" s="21" t="s">
        <v>40</v>
      </c>
      <c r="D74" s="35" t="s">
        <v>1810</v>
      </c>
      <c r="E74" s="168" t="str">
        <f>IF($C$18="No",'Auto Responses'!$A$3,IF($C74="Yes",VLOOKUP($A74,Questions!$A$2:$X$333,17,0)&amp;"",IF($C74="No",VLOOKUP($A74,Questions!$A$2:$X$333,16,0)&amp;"",VLOOKUP($A74,Questions!$A$2:$X$333,15,0)&amp;"")))</f>
        <v>Decribe your external application vulnerability scanning strategy.</v>
      </c>
      <c r="F74" s="202" t="str">
        <f>VLOOKUP($A74,'Institution Evaluation'!$A$56:$F$346,6,0)&amp;""</f>
        <v/>
      </c>
      <c r="G74" s="239" t="s">
        <v>1505</v>
      </c>
      <c r="H74" s="36"/>
    </row>
    <row r="75" spans="1:12" s="172" customFormat="1" ht="36.75" customHeight="1" x14ac:dyDescent="0.2">
      <c r="A75" s="268" t="s">
        <v>1565</v>
      </c>
      <c r="B75" s="254"/>
      <c r="C75" s="255"/>
      <c r="D75" s="319"/>
      <c r="E75" s="257"/>
      <c r="F75" s="258"/>
      <c r="G75" s="259"/>
      <c r="H75" s="173"/>
    </row>
    <row r="76" spans="1:12" s="1" customFormat="1" ht="15" hidden="1" customHeight="1" x14ac:dyDescent="0.2">
      <c r="A76" s="24"/>
      <c r="C76" s="8"/>
      <c r="D76" s="9"/>
      <c r="E76" s="10"/>
      <c r="I76" s="36"/>
      <c r="J76" s="36"/>
    </row>
    <row r="77" spans="1:12" ht="15" hidden="1" customHeight="1" x14ac:dyDescent="0.2">
      <c r="A77" s="1"/>
      <c r="B77" s="8"/>
      <c r="C77" s="72"/>
      <c r="D77" s="10"/>
      <c r="E77" s="1"/>
      <c r="H77" s="36"/>
      <c r="I77" s="1"/>
      <c r="J77" s="1"/>
      <c r="L77" s="24"/>
    </row>
    <row r="78" spans="1:12" ht="0" hidden="1" customHeight="1" x14ac:dyDescent="0.2">
      <c r="A78" s="19" t="e">
        <f>#REF!</f>
        <v>#REF!</v>
      </c>
    </row>
    <row r="79" spans="1:12" ht="0" hidden="1" customHeight="1" x14ac:dyDescent="0.2">
      <c r="A79" s="19" t="e">
        <f>#REF!</f>
        <v>#REF!</v>
      </c>
    </row>
    <row r="80" spans="1:12" ht="0" hidden="1" customHeight="1" x14ac:dyDescent="0.2">
      <c r="A80" s="19" t="e">
        <f>#REF!</f>
        <v>#REF!</v>
      </c>
    </row>
    <row r="81" spans="1:1" ht="0" hidden="1" customHeight="1" x14ac:dyDescent="0.2">
      <c r="A81" s="19" t="e">
        <f>#REF!</f>
        <v>#REF!</v>
      </c>
    </row>
    <row r="82" spans="1:1" ht="0" hidden="1" customHeight="1" x14ac:dyDescent="0.2">
      <c r="A82" s="19" t="e">
        <f>#REF!</f>
        <v>#REF!</v>
      </c>
    </row>
    <row r="83" spans="1:1" ht="0" hidden="1" customHeight="1" x14ac:dyDescent="0.2">
      <c r="A83" s="19" t="e">
        <f>#REF!</f>
        <v>#REF!</v>
      </c>
    </row>
    <row r="84" spans="1:1" ht="0" hidden="1" customHeight="1" x14ac:dyDescent="0.2">
      <c r="A84" s="19" t="e">
        <f>#REF!</f>
        <v>#REF!</v>
      </c>
    </row>
  </sheetData>
  <dataValidations count="2">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D25:D27 D29:D33 D49 D52:D62 D64:D66 D69:D74" xr:uid="{871E98A8-35DA-4B00-A5D2-935B75619CA9}"/>
    <dataValidation allowBlank="1" showInputMessage="1" showErrorMessage="1" prompt="This answer has been populated from the &quot;START HERE&quot; tab and does not need to be re-entered." sqref="C18 C13:C16 C3" xr:uid="{A359637D-68E0-4379-B6B4-68D633131ED0}"/>
  </dataValidations>
  <hyperlinks>
    <hyperlink ref="A11" r:id="rId1" display="http://www.educause.edu/HECVAT" xr:uid="{BFD1FA5C-33B4-453F-A047-4C5E73726C2C}"/>
    <hyperlink ref="D36" r:id="rId2" xr:uid="{55DC7773-0408-4365-80CF-EFE37202BDED}"/>
  </hyperlinks>
  <pageMargins left="0.75" right="0.75" top="1" bottom="1" header="0.5" footer="0.5"/>
  <pageSetup orientation="landscape" r:id="rId3"/>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C69:C75 C29:C33 C64:C67 C56:C58 C52:C54 C60 C62 C22:C23 C25:C27 C37:C50</xm:sqref>
        </x14:dataValidation>
        <x14:dataValidation type="list" allowBlank="1" showInputMessage="1" showErrorMessage="1" xr:uid="{06173091-EA93-48A5-BB07-55BB51E54BF5}">
          <x14:formula1>
            <xm:f>'Auto Responses'!$J$3:$J$5</xm:f>
          </x14:formula1>
          <xm:sqref>C59 C55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B3" sqref="B3"/>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1430</v>
      </c>
      <c r="B2" s="169"/>
      <c r="C2" s="170"/>
      <c r="D2" s="309"/>
      <c r="E2" s="171"/>
      <c r="F2" s="171" t="str">
        <f>'Auto Responses'!$A$36</f>
        <v>Version 4.1.2</v>
      </c>
      <c r="J2" s="1"/>
    </row>
    <row r="3" spans="1:10" s="1" customFormat="1" ht="29.1" customHeight="1" x14ac:dyDescent="0.2">
      <c r="A3" s="38" t="s">
        <v>975</v>
      </c>
      <c r="B3" s="39"/>
      <c r="C3" s="67" t="str">
        <f>'START HERE'!$C$3</f>
        <v>Oct 17 2025</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0"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Bloomington, Indiana</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c r="E17" s="32" t="s">
        <v>883</v>
      </c>
      <c r="F17" s="188" t="s">
        <v>884</v>
      </c>
      <c r="I17" s="36"/>
      <c r="J17" s="36"/>
    </row>
    <row r="18" spans="1:10" s="1" customFormat="1" ht="54" customHeight="1" thickBot="1" x14ac:dyDescent="0.25">
      <c r="A18" s="19" t="s">
        <v>51</v>
      </c>
      <c r="B18" s="18" t="str">
        <f>VLOOKUP($A18,Questions!$A$2:$X$333,2,0)</f>
        <v>Does your product or service have an interface?</v>
      </c>
      <c r="C18" s="73" t="str">
        <f>VLOOKUP($A18,'START HERE'!$A$23:$F$36,3,0)&amp;""</f>
        <v>Yes</v>
      </c>
      <c r="D18" s="313" t="str">
        <f>VLOOKUP($A18,'START HERE'!$A$23:$F$36,4,0)&amp;""</f>
        <v>NSSE Shorts uses Qualtrics survey and dashboard products; all data and reports accessed by institutions is via the Qualtrics dashboard</v>
      </c>
      <c r="E18" s="168" t="str">
        <f>IF($C18="Yes",VLOOKUP($A18,Questions!$A$2:$X$333,17,0)&amp;"",IF($C18="No",VLOOKUP($A18,Questions!$A$2:$X$333,16,0)&amp;"",VLOOKUP($A18,Questions!$A$2:$X$333,15,0)&amp;""))</f>
        <v>DO complete the IT Accessibility worksheet.</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IT Accessibility</v>
      </c>
      <c r="B19" s="23"/>
      <c r="C19" s="13" t="s">
        <v>1555</v>
      </c>
      <c r="D19" s="13" t="s">
        <v>72</v>
      </c>
      <c r="E19" s="32" t="s">
        <v>883</v>
      </c>
      <c r="F19" s="188" t="s">
        <v>884</v>
      </c>
      <c r="I19" s="36"/>
      <c r="J19" s="36"/>
    </row>
    <row r="20" spans="1:10" s="1" customFormat="1" ht="30" customHeight="1" x14ac:dyDescent="0.2">
      <c r="A20" s="19" t="s">
        <v>93</v>
      </c>
      <c r="B20" s="18" t="str">
        <f>VLOOKUP($A20,Questions!$A$2:$X$333,2,0)</f>
        <v>Solution Provider Accessibility Contact Name</v>
      </c>
      <c r="C20" s="78" t="s">
        <v>1775</v>
      </c>
      <c r="D20" s="314"/>
      <c r="E20" s="168"/>
      <c r="F20" s="202" t="str">
        <f>VLOOKUP($A20,'Institution Evaluation'!$A$56:$F$346,6,0)&amp;""</f>
        <v/>
      </c>
      <c r="I20" s="36"/>
      <c r="J20" s="36"/>
    </row>
    <row r="21" spans="1:10" s="1" customFormat="1" ht="30" customHeight="1" x14ac:dyDescent="0.2">
      <c r="A21" s="19" t="s">
        <v>94</v>
      </c>
      <c r="B21" s="18" t="str">
        <f>VLOOKUP($A21,Questions!$A$2:$X$333,2,0)</f>
        <v>Solution Provider Accessibility Contact Title</v>
      </c>
      <c r="C21" s="78" t="s">
        <v>1777</v>
      </c>
      <c r="D21" s="314"/>
      <c r="E21" s="168"/>
      <c r="F21" s="202" t="str">
        <f>VLOOKUP($A21,'Institution Evaluation'!$A$56:$F$346,6,0)&amp;""</f>
        <v/>
      </c>
      <c r="I21" s="36"/>
      <c r="J21" s="36"/>
    </row>
    <row r="22" spans="1:10" s="1" customFormat="1" ht="30" customHeight="1" x14ac:dyDescent="0.2">
      <c r="A22" s="19" t="s">
        <v>95</v>
      </c>
      <c r="B22" s="18" t="str">
        <f>VLOOKUP($A22,Questions!$A$2:$X$333,2,0)</f>
        <v>Solution Provider Accessibility Contact Email</v>
      </c>
      <c r="C22" s="78" t="s">
        <v>1778</v>
      </c>
      <c r="D22" s="314"/>
      <c r="E22" s="168"/>
      <c r="F22" s="202" t="str">
        <f>VLOOKUP($A22,'Institution Evaluation'!$A$56:$F$346,6,0)&amp;""</f>
        <v/>
      </c>
      <c r="I22" s="36"/>
      <c r="J22" s="36"/>
    </row>
    <row r="23" spans="1:10" s="1" customFormat="1" ht="30" customHeight="1" x14ac:dyDescent="0.2">
      <c r="A23" s="19" t="s">
        <v>96</v>
      </c>
      <c r="B23" s="18" t="str">
        <f>VLOOKUP($A23,Questions!$A$2:$X$333,2,0)</f>
        <v>Solution Provider Accessibility Contact Phone Number</v>
      </c>
      <c r="C23" s="78" t="s">
        <v>1779</v>
      </c>
      <c r="D23" s="314"/>
      <c r="E23" s="168"/>
      <c r="F23" s="202" t="str">
        <f>VLOOKUP($A23,'Institution Evaluation'!$A$56:$F$346,6,0)&amp;""</f>
        <v/>
      </c>
      <c r="I23" s="36"/>
      <c r="J23" s="36"/>
    </row>
    <row r="24" spans="1:10" s="1" customFormat="1" ht="30" customHeight="1" x14ac:dyDescent="0.2">
      <c r="A24" s="19" t="s">
        <v>97</v>
      </c>
      <c r="B24" s="18" t="str">
        <f>VLOOKUP($A24,Questions!$A$2:$X$333,2,0)</f>
        <v>Web Link to Accessibility Statement or VPAT</v>
      </c>
      <c r="C24" s="362" t="s">
        <v>1812</v>
      </c>
      <c r="D24" s="314" t="s">
        <v>1825</v>
      </c>
      <c r="E24" s="168" t="str">
        <f>IF($C$18="No",'Auto Responses'!$A$4,IF($C24="Yes",VLOOKUP($A24,Questions!$A$2:$X$333,17,0)&amp;"",IF($C24="No",VLOOKUP($A24,Questions!$A$2:$X$333,16,0)&amp;"",VLOOKUP($A24,Questions!$A$2:$X$333,15,0)&amp;"")))</f>
        <v>VPAT can also be added as an attachment</v>
      </c>
      <c r="F24" s="202" t="str">
        <f>VLOOKUP($A24,'Institution Evaluation'!$A$56:$F$346,6,0)&amp;""</f>
        <v/>
      </c>
      <c r="I24" s="36"/>
      <c r="J24" s="36"/>
    </row>
    <row r="25" spans="1:10" s="1" customFormat="1" ht="136.5" customHeight="1" x14ac:dyDescent="0.2">
      <c r="A25" s="19" t="s">
        <v>101</v>
      </c>
      <c r="B25" s="18" t="str">
        <f>VLOOKUP($A25,Questions!$A$2:$X$333,2,0)</f>
        <v>Has a VPAT or ACR been created or updated for the solution and version under consideration within the past 12 months?*</v>
      </c>
      <c r="C25" s="356" t="s">
        <v>40</v>
      </c>
      <c r="D25" s="365" t="s">
        <v>1824</v>
      </c>
      <c r="E25" s="168" t="str">
        <f>IF($C$18="No",'Auto Responses'!$A$4,IF($C25="Yes",VLOOKUP($A25,Questions!$A$2:$X$333,17,0)&amp;"",IF($C25="No",VLOOKUP($A25,Questions!$A$2:$X$333,16,0)&amp;"",VLOOKUP($A25,Questions!$A$2:$X$333,15,0)&amp;"")))</f>
        <v>State the date the VPAT was completed. Include this VPAT in your submission and/or link to its web location.</v>
      </c>
      <c r="F25" s="202" t="str">
        <f>VLOOKUP($A25,'Institution Evaluation'!$A$56:$F$346,6,0)&amp;""</f>
        <v/>
      </c>
      <c r="I25" s="36"/>
      <c r="J25" s="36"/>
    </row>
    <row r="26" spans="1:10" s="1" customFormat="1" ht="82.5" customHeight="1" x14ac:dyDescent="0.2">
      <c r="A26" s="19" t="s">
        <v>103</v>
      </c>
      <c r="B26" s="18" t="str">
        <f>VLOOKUP($A26,Questions!$A$2:$X$333,2,0)</f>
        <v>Will your company agree to meet your stated accessibility standard or WCAG 2.1 AA as part of your contractual agreement for the solution?*</v>
      </c>
      <c r="C26" s="21" t="s">
        <v>149</v>
      </c>
      <c r="D26" s="314" t="s">
        <v>1813</v>
      </c>
      <c r="E26" s="168" t="str">
        <f>IF($C$18="No",'Auto Responses'!$A$4,IF($C26="Yes",VLOOKUP($A26,Questions!$A$2:$X$333,17,0)&amp;"",IF($C26="No",VLOOKUP($A26,Questions!$A$2:$X$333,16,0)&amp;"",VLOOKUP($A26,Questions!$A$2:$X$333,15,0)&amp;"")))</f>
        <v/>
      </c>
      <c r="F26" s="202" t="str">
        <f>VLOOKUP($A26,'Institution Evaluation'!$A$56:$F$346,6,0)&amp;""</f>
        <v/>
      </c>
      <c r="I26" s="36"/>
      <c r="J26" s="36"/>
    </row>
    <row r="27" spans="1:10" s="1" customFormat="1" ht="161.25" customHeight="1" x14ac:dyDescent="0.2">
      <c r="A27" s="19" t="s">
        <v>106</v>
      </c>
      <c r="B27" s="18" t="str">
        <f>VLOOKUP($A27,Questions!$A$2:$X$333,2,0)</f>
        <v>Does the solution substantially conform to WCAG 2.1 AA?*</v>
      </c>
      <c r="C27" s="21" t="s">
        <v>40</v>
      </c>
      <c r="D27" s="314" t="s">
        <v>1814</v>
      </c>
      <c r="E27" s="168"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2" t="str">
        <f>VLOOKUP($A27,'Institution Evaluation'!$A$56:$F$346,6,0)&amp;""</f>
        <v/>
      </c>
      <c r="I27" s="36"/>
      <c r="J27" s="36"/>
    </row>
    <row r="28" spans="1:10" s="1" customFormat="1" ht="104.25" customHeight="1" x14ac:dyDescent="0.2">
      <c r="A28" s="19" t="s">
        <v>108</v>
      </c>
      <c r="B28" s="18" t="str">
        <f>VLOOKUP($A28,Questions!$A$2:$X$333,2,0)</f>
        <v>Do you have a documented and implemented process for reporting and tracking accessibility issues?*</v>
      </c>
      <c r="C28" s="21" t="s">
        <v>40</v>
      </c>
      <c r="D28" s="314"/>
      <c r="E28" s="168" t="str">
        <f>IF($C$18="No",'Auto Responses'!$A$4,IF($C28="Yes",VLOOKUP($A28,Questions!$A$2:$X$333,17,0)&amp;"",IF($C28="No",VLOOKUP($A28,Questions!$A$2:$X$333,16,0)&amp;"",VLOOKUP($A28,Questions!$A$2:$X$333,15,0)&amp;"")))</f>
        <v>Describe the process and any recent examples of fixes as a result of the process.</v>
      </c>
      <c r="F28" s="202" t="str">
        <f>VLOOKUP($A28,'Institution Evaluation'!$A$56:$F$346,6,0)&amp;""</f>
        <v/>
      </c>
      <c r="I28" s="36"/>
      <c r="J28" s="36"/>
    </row>
    <row r="29" spans="1:10" s="1" customFormat="1" ht="104.25" customHeight="1" x14ac:dyDescent="0.2">
      <c r="A29" s="19" t="s">
        <v>111</v>
      </c>
      <c r="B29" s="18" t="str">
        <f>VLOOKUP($A29,Questions!$A$2:$X$333,2,0)</f>
        <v>Do you have documentation to support the accessibility features of your solution?</v>
      </c>
      <c r="C29" s="21" t="s">
        <v>40</v>
      </c>
      <c r="D29" s="314" t="s">
        <v>1793</v>
      </c>
      <c r="E29" s="168" t="str">
        <f>IF($C$18="No",'Auto Responses'!$A$4,IF($C29="Yes",VLOOKUP($A29,Questions!$A$2:$X$333,17,0)&amp;"",IF($C29="No",VLOOKUP($A29,Questions!$A$2:$X$333,16,0)&amp;"",VLOOKUP($A29,Questions!$A$2:$X$333,15,0)&amp;"")))</f>
        <v>Provide examples with links where possible.</v>
      </c>
      <c r="F29" s="202" t="str">
        <f>VLOOKUP($A29,'Institution Evaluation'!$A$56:$F$346,6,0)&amp;""</f>
        <v/>
      </c>
      <c r="I29" s="36"/>
      <c r="J29" s="36"/>
    </row>
    <row r="30" spans="1:10" s="1" customFormat="1" ht="93.75" customHeight="1" x14ac:dyDescent="0.2">
      <c r="A30" s="19" t="s">
        <v>112</v>
      </c>
      <c r="B30" s="18" t="str">
        <f>VLOOKUP($A30,Questions!$A$2:$X$333,2,0)</f>
        <v>Has a third-party expert conducted an audit of the most recent version of your solution?</v>
      </c>
      <c r="C30" s="21" t="s">
        <v>149</v>
      </c>
      <c r="D30" s="35" t="s">
        <v>1815</v>
      </c>
      <c r="E30" s="168" t="str">
        <f>IF($C$18="No",'Auto Responses'!$A$4,IF($C30="Yes",VLOOKUP($A30,Questions!$A$2:$X$333,17,0)&amp;"",IF($C30="No",VLOOKUP($A30,Questions!$A$2:$X$333,16,0)&amp;"",VLOOKUP($A30,Questions!$A$2:$X$333,15,0)&amp;"")))</f>
        <v>Please provide plans (when and by whom) of any planned audit, or a rationale if no third-party audit is planned.</v>
      </c>
      <c r="F30" s="202" t="str">
        <f>VLOOKUP($A30,'Institution Evaluation'!$A$56:$F$346,6,0)&amp;""</f>
        <v/>
      </c>
      <c r="I30" s="36"/>
      <c r="J30" s="36"/>
    </row>
    <row r="31" spans="1:10" s="1" customFormat="1" ht="120" customHeight="1" x14ac:dyDescent="0.2">
      <c r="A31" s="19" t="s">
        <v>113</v>
      </c>
      <c r="B31" s="18" t="str">
        <f>VLOOKUP($A31,Questions!$A$2:$X$333,2,0)</f>
        <v>Do you have a documented and implemented process for verifying accessibility conformance?</v>
      </c>
      <c r="C31" s="21" t="s">
        <v>40</v>
      </c>
      <c r="D31" s="35" t="s">
        <v>1816</v>
      </c>
      <c r="E31" s="168" t="str">
        <f>IF($C$18="No",'Auto Responses'!$A$4,IF($C31="Yes",VLOOKUP($A31,Questions!$A$2:$X$333,17,0)&amp;"",IF($C31="No",VLOOKUP($A31,Questions!$A$2:$X$333,16,0)&amp;"",VLOOKUP($A31,Questions!$A$2:$X$333,15,0)&amp;"")))</f>
        <v>Describe your processes and methodologies for validating accessibility conformance.</v>
      </c>
      <c r="F31" s="202" t="str">
        <f>VLOOKUP($A31,'Institution Evaluation'!$A$56:$F$346,6,0)&amp;""</f>
        <v/>
      </c>
      <c r="I31" s="36"/>
      <c r="J31" s="36"/>
    </row>
    <row r="32" spans="1:10" s="1" customFormat="1" ht="108" customHeight="1" x14ac:dyDescent="0.2">
      <c r="A32" s="19" t="s">
        <v>114</v>
      </c>
      <c r="B32" s="18" t="str">
        <f>VLOOKUP($A32,Questions!$A$2:$X$333,2,0)</f>
        <v>Have you adopted a technical or legal standard of conformance for the solution?</v>
      </c>
      <c r="C32" s="21" t="s">
        <v>149</v>
      </c>
      <c r="D32" s="35" t="s">
        <v>1815</v>
      </c>
      <c r="E32" s="168" t="str">
        <f>IF($C$18="No",'Auto Responses'!$A$4,IF($C32="Yes",VLOOKUP($A32,Questions!$A$2:$X$333,17,0)&amp;"",IF($C32="No",VLOOKUP($A32,Questions!$A$2:$X$333,16,0)&amp;"",VLOOKUP($A32,Questions!$A$2:$X$333,15,0)&amp;"")))</f>
        <v>Summarize your decision to not adopt a technical or legal standard of conformance for the solution.</v>
      </c>
      <c r="F32" s="202" t="str">
        <f>VLOOKUP($A32,'Institution Evaluation'!$A$56:$F$346,6,0)&amp;""</f>
        <v/>
      </c>
      <c r="I32" s="36"/>
      <c r="J32" s="36"/>
    </row>
    <row r="33" spans="1:12" s="1" customFormat="1" ht="228" customHeight="1" x14ac:dyDescent="0.2">
      <c r="A33" s="19" t="s">
        <v>116</v>
      </c>
      <c r="B33" s="18" t="str">
        <f>VLOOKUP($A33,Questions!$A$2:$X$333,2,0)</f>
        <v>Can you provide a current, detailed accessibility roadmap with delivery timelines?</v>
      </c>
      <c r="C33" s="21" t="s">
        <v>149</v>
      </c>
      <c r="D33" s="35" t="s">
        <v>1815</v>
      </c>
      <c r="E33" s="168" t="str">
        <f>IF($C$18="No",'Auto Responses'!$A$4,IF($C33="Yes",VLOOKUP($A33,Questions!$A$2:$X$333,17,0)&amp;"",IF($C33="No",VLOOKUP($A33,Questions!$A$2:$X$333,16,0)&amp;"",VLOOKUP($A33,Questions!$A$2:$X$333,15,0)&amp;"")))</f>
        <v>Please provide any plans to develop and share an accessibility roadmap in the future.</v>
      </c>
      <c r="F33" s="202" t="str">
        <f>VLOOKUP($A33,'Institution Evaluation'!$A$56:$F$346,6,0)&amp;""</f>
        <v/>
      </c>
      <c r="I33" s="36"/>
      <c r="J33" s="36"/>
    </row>
    <row r="34" spans="1:12" s="1" customFormat="1" ht="213" customHeight="1" x14ac:dyDescent="0.2">
      <c r="A34" s="19" t="s">
        <v>120</v>
      </c>
      <c r="B34" s="18" t="str">
        <f>VLOOKUP($A34,Questions!$A$2:$X$333,2,0)</f>
        <v>Do you expect your staff to maintain a current skill set in IT accessibility?</v>
      </c>
      <c r="C34" s="21" t="s">
        <v>149</v>
      </c>
      <c r="D34" s="35" t="s">
        <v>1815</v>
      </c>
      <c r="E34" s="168" t="str">
        <f>IF($C$18="No",'Auto Responses'!$A$4,IF($C34="Yes",VLOOKUP($A34,Questions!$A$2:$X$333,17,0)&amp;"",IF($C34="No",VLOOKUP($A34,Questions!$A$2:$X$333,16,0)&amp;"",VLOOKUP($A34,Questions!$A$2:$X$333,15,0)&amp;"")))</f>
        <v>Describe any plans to ensure appropriate and ongoing staff knowledge about accessibility.</v>
      </c>
      <c r="F34" s="202" t="str">
        <f>VLOOKUP($A34,'Institution Evaluation'!$A$56:$F$346,6,0)&amp;""</f>
        <v/>
      </c>
      <c r="I34" s="36"/>
      <c r="J34" s="36"/>
    </row>
    <row r="35" spans="1:12" s="1" customFormat="1" ht="213" customHeight="1" x14ac:dyDescent="0.2">
      <c r="A35" s="19" t="s">
        <v>123</v>
      </c>
      <c r="B35" s="18" t="str">
        <f>VLOOKUP($A35,Questions!$A$2:$X$333,2,0)</f>
        <v>Do you have documented processes and procedures for implementing accessibility into your development lifecycle?</v>
      </c>
      <c r="C35" s="21" t="s">
        <v>40</v>
      </c>
      <c r="D35" s="35" t="s">
        <v>1816</v>
      </c>
      <c r="E35" s="168" t="str">
        <f>IF($C$18="No",'Auto Responses'!$A$4,IF($C35="Yes",VLOOKUP($A35,Questions!$A$2:$X$333,17,0)&amp;"",IF($C35="No",VLOOKUP($A35,Questions!$A$2:$X$333,16,0)&amp;"",VLOOKUP($A35,Questions!$A$2:$X$333,15,0)&amp;"")))</f>
        <v>Provide further details in Additional Information.</v>
      </c>
      <c r="F35" s="202" t="str">
        <f>VLOOKUP($A35,'Institution Evaluation'!$A$56:$F$346,6,0)&amp;""</f>
        <v/>
      </c>
      <c r="I35" s="36"/>
      <c r="J35" s="36"/>
    </row>
    <row r="36" spans="1:12" s="1" customFormat="1" ht="60" x14ac:dyDescent="0.2">
      <c r="A36" s="19" t="s">
        <v>126</v>
      </c>
      <c r="B36" s="18" t="str">
        <f>VLOOKUP($A36,Questions!$A$2:$X$333,2,0)</f>
        <v>Can all functions of the application or service be performed using only the keyboard?</v>
      </c>
      <c r="C36" s="21" t="s">
        <v>149</v>
      </c>
      <c r="D36" s="35" t="s">
        <v>1816</v>
      </c>
      <c r="E36" s="168" t="str">
        <f>IF($C$18="No",'Auto Responses'!$A$4,IF($C36="Yes",VLOOKUP($A36,Questions!$A$2:$X$333,17,0)&amp;"",IF($C36="No",VLOOKUP($A36,Questions!$A$2:$X$333,16,0)&amp;"",VLOOKUP($A36,Questions!$A$2:$X$333,15,0)&amp;"")))</f>
        <v>Indicate a plan to test the solution; develop a roadmap for keyboard accessibility or any further context.</v>
      </c>
      <c r="F36" s="202" t="str">
        <f>VLOOKUP($A36,'Institution Evaluation'!$A$56:$F$346,6,0)&amp;""</f>
        <v/>
      </c>
      <c r="I36" s="36"/>
      <c r="J36" s="36"/>
    </row>
    <row r="37" spans="1:12" s="1" customFormat="1" ht="127.5" customHeight="1" x14ac:dyDescent="0.2">
      <c r="A37" s="19" t="s">
        <v>129</v>
      </c>
      <c r="B37" s="18" t="str">
        <f>VLOOKUP($A37,Questions!$A$2:$X$333,2,0)</f>
        <v>Does your product rely on activating a special "accessibility mode," a "lite version," or using an alternate interface (including “overlay” or AI-based alternates)  for accessibility purposes?</v>
      </c>
      <c r="C37" s="21" t="s">
        <v>149</v>
      </c>
      <c r="D37" s="314"/>
      <c r="E37" s="168"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2" t="str">
        <f>VLOOKUP($A37,'Institution Evaluation'!$A$56:$F$346,6,0)&amp;""</f>
        <v/>
      </c>
      <c r="G37" s="239" t="s">
        <v>1505</v>
      </c>
      <c r="I37" s="36"/>
      <c r="J37" s="36"/>
    </row>
    <row r="38" spans="1:12" s="172" customFormat="1" ht="42" customHeight="1" x14ac:dyDescent="0.2">
      <c r="A38" s="268" t="s">
        <v>1565</v>
      </c>
      <c r="B38" s="254"/>
      <c r="C38" s="255"/>
      <c r="D38" s="315"/>
      <c r="E38" s="257"/>
      <c r="F38" s="258"/>
      <c r="G38" s="259"/>
      <c r="I38" s="173"/>
      <c r="J38" s="173"/>
    </row>
    <row r="39" spans="1:12" s="1" customFormat="1" ht="15" hidden="1" customHeight="1" x14ac:dyDescent="0.2">
      <c r="A39"/>
      <c r="C39" s="8"/>
      <c r="D39" s="9"/>
      <c r="E39" s="10"/>
      <c r="I39" s="36"/>
      <c r="J39" s="36"/>
    </row>
    <row r="40" spans="1:12" ht="15" hidden="1" customHeight="1" x14ac:dyDescent="0.2">
      <c r="A40" s="1"/>
      <c r="B40" s="8"/>
      <c r="C40" s="72"/>
      <c r="D40" s="10"/>
      <c r="E40" s="1"/>
      <c r="H40" s="36"/>
      <c r="I40" s="1"/>
      <c r="J40" s="1"/>
      <c r="L40"/>
    </row>
    <row r="41" spans="1:12" ht="0" hidden="1" customHeight="1" x14ac:dyDescent="0.2">
      <c r="A41" s="19" t="e">
        <f>#REF!</f>
        <v>#REF!</v>
      </c>
    </row>
    <row r="42" spans="1:12" ht="0" hidden="1" customHeight="1" x14ac:dyDescent="0.2">
      <c r="A42" s="19" t="e">
        <f>#REF!</f>
        <v>#REF!</v>
      </c>
    </row>
    <row r="43" spans="1:12" ht="0" hidden="1" customHeight="1" x14ac:dyDescent="0.2">
      <c r="A43" s="19" t="e">
        <f>#REF!</f>
        <v>#REF!</v>
      </c>
    </row>
    <row r="44" spans="1:12" ht="0" hidden="1" customHeight="1" x14ac:dyDescent="0.2">
      <c r="A44" s="19" t="e">
        <f>#REF!</f>
        <v>#REF!</v>
      </c>
    </row>
    <row r="45" spans="1:12" ht="0" hidden="1" customHeight="1" x14ac:dyDescent="0.2">
      <c r="A45" s="19" t="e">
        <f>#REF!</f>
        <v>#REF!</v>
      </c>
    </row>
    <row r="46" spans="1:12" ht="0" hidden="1" customHeight="1" x14ac:dyDescent="0.2">
      <c r="A46" s="19" t="e">
        <f>#REF!</f>
        <v>#REF!</v>
      </c>
    </row>
    <row r="47" spans="1:12" ht="0" hidden="1" customHeight="1" x14ac:dyDescent="0.2">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D30:D36"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 ref="C24" r:id="rId2" xr:uid="{25067D95-6D32-4B40-A456-D0F18E7F1391}"/>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C26:C38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3" sqref="A3"/>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2" style="1"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1431</v>
      </c>
      <c r="B2" s="169"/>
      <c r="C2" s="170"/>
      <c r="D2" s="309"/>
      <c r="E2" s="171"/>
      <c r="F2" s="171" t="str">
        <f>'Auto Responses'!$A$36</f>
        <v>Version 4.1.2</v>
      </c>
      <c r="J2" s="1"/>
    </row>
    <row r="3" spans="1:10" s="1" customFormat="1" ht="29.1" customHeight="1" x14ac:dyDescent="0.2">
      <c r="A3" s="38" t="s">
        <v>975</v>
      </c>
      <c r="B3" s="39"/>
      <c r="C3" s="67" t="str">
        <f>'START HERE'!$C$3</f>
        <v>Oct 17 2025</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0"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Bloomington, Indiana</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t="s">
        <v>72</v>
      </c>
      <c r="E17" s="32" t="s">
        <v>883</v>
      </c>
      <c r="F17" s="188" t="s">
        <v>884</v>
      </c>
      <c r="I17" s="36"/>
      <c r="J17" s="36"/>
    </row>
    <row r="18" spans="1:10" s="1" customFormat="1" ht="38.25" customHeight="1" x14ac:dyDescent="0.2">
      <c r="A18" s="19" t="s">
        <v>54</v>
      </c>
      <c r="B18" s="18" t="str">
        <f>VLOOKUP($A18,Questions!$A$2:$X$333,2,0)</f>
        <v>Are you providing consulting services?</v>
      </c>
      <c r="C18" s="74" t="str">
        <f>VLOOKUP($A18,'START HERE'!$A$23:$F$36,3,0)&amp;""</f>
        <v>No</v>
      </c>
      <c r="D18" s="316" t="str">
        <f>VLOOKUP($A18,'START HERE'!$A$23:$F$36,4,0)&amp;""</f>
        <v/>
      </c>
      <c r="E18" s="168" t="str">
        <f>IF($C18="Yes",VLOOKUP($A18,Questions!$A$2:$X$333,17,0)&amp;"",IF($C18="No",VLOOKUP($A18,Questions!$A$2:$X$333,16,0)&amp;"",VLOOKUP($A18,Questions!$A$2:$X$333,15,0)&amp;""))</f>
        <v>DO NOT complete the Consulting section in the Case-Specific worksheet</v>
      </c>
      <c r="F18" s="202" t="str">
        <f>VLOOKUP($A18,'Institution Evaluation'!$A$56:$F$346,6,0)&amp;""</f>
        <v/>
      </c>
      <c r="I18" s="36"/>
      <c r="J18" s="36"/>
    </row>
    <row r="19" spans="1:10" s="1" customFormat="1" ht="51.75" customHeight="1" x14ac:dyDescent="0.2">
      <c r="A19" s="19" t="s">
        <v>61</v>
      </c>
      <c r="B19" s="18" t="str">
        <f>VLOOKUP($A19,Questions!$A$2:$X$333,2,0)</f>
        <v>Does your solution process protected health information (PHI) or any data covered by the Health Insurance Portability and Accountability Act (HIPAA)?</v>
      </c>
      <c r="C19" s="74" t="str">
        <f>VLOOKUP($A19,'START HERE'!$A$23:$F$36,3,0)&amp;""</f>
        <v>No</v>
      </c>
      <c r="D19" s="316" t="str">
        <f>VLOOKUP($A19,'START HERE'!$A$23:$F$36,4,0)&amp;""</f>
        <v/>
      </c>
      <c r="E19" s="168" t="str">
        <f>IF($C19="Yes",VLOOKUP($A19,Questions!$A$2:$X$333,17,0)&amp;"",IF($C19="No",VLOOKUP($A19,Questions!$A$2:$X$333,16,0)&amp;"",VLOOKUP($A19,Questions!$A$2:$X$333,15,0)&amp;""))</f>
        <v>DO NOT complete the HIPAA section in the Case-Specific worksheet</v>
      </c>
      <c r="F19" s="202" t="str">
        <f>VLOOKUP($A19,'Institution Evaluation'!$A$56:$F$346,6,0)&amp;""</f>
        <v/>
      </c>
      <c r="I19" s="36"/>
      <c r="J19" s="36"/>
    </row>
    <row r="20" spans="1:10" s="1" customFormat="1" ht="51.75" customHeight="1" x14ac:dyDescent="0.2">
      <c r="A20" s="19" t="s">
        <v>64</v>
      </c>
      <c r="B20" s="18" t="str">
        <f>VLOOKUP($A20,Questions!$A$2:$X$333,2,0)</f>
        <v>Is the solution designed to process, store, or transmit credit card information?</v>
      </c>
      <c r="C20" s="74" t="str">
        <f>VLOOKUP($A20,'START HERE'!$A$23:$F$36,3,0)&amp;""</f>
        <v>No</v>
      </c>
      <c r="D20" s="316" t="str">
        <f>VLOOKUP($A20,'START HERE'!$A$23:$F$36,4,0)&amp;""</f>
        <v/>
      </c>
      <c r="E20" s="168" t="str">
        <f>IF($C20="Yes",VLOOKUP($A20,Questions!$A$2:$X$333,17,0)&amp;"",IF($C20="No",VLOOKUP($A20,Questions!$A$2:$X$333,16,0)&amp;"",VLOOKUP($A20,Questions!$A$2:$X$333,15,0)&amp;""))</f>
        <v>DO NOT complete the PCI-DSS section in the Case-Specific worksheet</v>
      </c>
      <c r="F20" s="202" t="str">
        <f>VLOOKUP($A20,'Institution Evaluation'!$A$56:$F$346,6,0)&amp;""</f>
        <v/>
      </c>
      <c r="I20" s="36"/>
      <c r="J20" s="36"/>
    </row>
    <row r="21" spans="1:10" s="1" customFormat="1" ht="69" customHeight="1" thickBot="1" x14ac:dyDescent="0.25">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4" t="str">
        <f>VLOOKUP($A21,'START HERE'!$A$23:$F$36,3,0)&amp;""</f>
        <v>No</v>
      </c>
      <c r="D21" s="316" t="str">
        <f>VLOOKUP($A21,'START HERE'!$A$23:$F$36,4,0)&amp;""</f>
        <v/>
      </c>
      <c r="E21" s="168" t="str">
        <f>IF($C21="Yes",VLOOKUP($A21,Questions!$A$2:$X$333,17,0)&amp;"",IF($C21="No",VLOOKUP($A21,Questions!$A$2:$X$333,16,0)&amp;"",VLOOKUP($A21,Questions!$A$2:$X$333,15,0)&amp;""))</f>
        <v>DO NOT complete the On-Prem section in the Case-Specific worksheet</v>
      </c>
      <c r="F21" s="202" t="str">
        <f>VLOOKUP($A21,'Institution Evaluation'!$A$56:$F$346,6,0)&amp;""</f>
        <v/>
      </c>
      <c r="G21" s="239" t="s">
        <v>1505</v>
      </c>
      <c r="I21" s="36"/>
      <c r="J21" s="36"/>
    </row>
    <row r="22" spans="1:10" s="1" customFormat="1" ht="37.35" customHeight="1" thickBot="1" x14ac:dyDescent="0.25">
      <c r="A22" s="64" t="str">
        <f>VLOOKUP(LEFT($A23,4),'Auto Responses'!$N$4:$O$38,2,0)&amp;""</f>
        <v xml:space="preserve"> Consulting Services</v>
      </c>
      <c r="B22" s="23"/>
      <c r="C22" s="13" t="s">
        <v>1555</v>
      </c>
      <c r="D22" s="13" t="s">
        <v>72</v>
      </c>
      <c r="E22" s="32" t="s">
        <v>883</v>
      </c>
      <c r="F22" s="188" t="s">
        <v>884</v>
      </c>
      <c r="I22" s="36"/>
      <c r="J22" s="36"/>
    </row>
    <row r="23" spans="1:10" s="1" customFormat="1" ht="123" customHeight="1" x14ac:dyDescent="0.2">
      <c r="A23" s="19" t="s">
        <v>146</v>
      </c>
      <c r="B23" s="18" t="str">
        <f>VLOOKUP($A23,Questions!$A$2:$X$333,2,0)</f>
        <v>Will the consultant require access to the institution's network resources?*</v>
      </c>
      <c r="C23" s="21"/>
      <c r="D23" s="327"/>
      <c r="E23" s="168" t="str">
        <f>IF($C$18="No",'Auto Responses'!$A$5,IF($C23="Yes",VLOOKUP($A23,Questions!$A$2:$X$333,17,0)&amp;"",IF($C23="No",VLOOKUP($A23,Questions!$A$2:$X$333,16,0)&amp;"",VLOOKUP($A23,Questions!$A$2:$X$333,15,0)&amp;"")))</f>
        <v>Based on the response to REQU-03 on the "START HERE" tab, this question does not apply to this product or service.</v>
      </c>
      <c r="F23" s="202" t="str">
        <f>VLOOKUP($A23,'Institution Evaluation'!$A$56:$F$346,6,0)&amp;""</f>
        <v/>
      </c>
      <c r="I23" s="36"/>
      <c r="J23" s="36"/>
    </row>
    <row r="24" spans="1:10" s="1" customFormat="1" ht="57" x14ac:dyDescent="0.2">
      <c r="A24" s="19" t="s">
        <v>150</v>
      </c>
      <c r="B24" s="18" t="str">
        <f>VLOOKUP($A24,Questions!$A$2:$X$333,2,0)</f>
        <v>Has the consultant received training on (sensitive, HIPAA, PCI, etc.) data handling?*</v>
      </c>
      <c r="C24" s="21"/>
      <c r="D24" s="327"/>
      <c r="E24" s="168" t="str">
        <f>IF($C$18="No",'Auto Responses'!$A$5,IF($C24="Yes",VLOOKUP($A24,Questions!$A$2:$X$333,17,0)&amp;"",IF($C24="No",VLOOKUP($A24,Questions!$A$2:$X$333,16,0)&amp;"",VLOOKUP($A24,Questions!$A$2:$X$333,15,0)&amp;"")))</f>
        <v>Based on the response to REQU-03 on the "START HERE" tab, this question does not apply to this product or service.</v>
      </c>
      <c r="F24" s="202" t="str">
        <f>VLOOKUP($A24,'Institution Evaluation'!$A$56:$F$346,6,0)&amp;""</f>
        <v/>
      </c>
      <c r="I24" s="36"/>
      <c r="J24" s="36"/>
    </row>
    <row r="25" spans="1:10" s="1" customFormat="1" ht="36" customHeight="1" x14ac:dyDescent="0.2">
      <c r="A25" s="19" t="s">
        <v>151</v>
      </c>
      <c r="B25" s="18" t="str">
        <f>VLOOKUP($A25,Questions!$A$2:$X$333,2,0)</f>
        <v>Is the data encrypted (at rest) while in the consultant's possession?*</v>
      </c>
      <c r="C25" s="21"/>
      <c r="D25" s="327"/>
      <c r="E25" s="168" t="str">
        <f>IF($C$18="No",'Auto Responses'!$A$5,IF($C25="Yes",VLOOKUP($A25,Questions!$A$2:$X$333,17,0)&amp;"",IF($C25="No",VLOOKUP($A25,Questions!$A$2:$X$333,16,0)&amp;"",VLOOKUP($A25,Questions!$A$2:$X$333,15,0)&amp;"")))</f>
        <v>Based on the response to REQU-03 on the "START HERE" tab, this question does not apply to this product or service.</v>
      </c>
      <c r="F25" s="202" t="str">
        <f>VLOOKUP($A25,'Institution Evaluation'!$A$56:$F$346,6,0)&amp;""</f>
        <v/>
      </c>
      <c r="H25" s="172"/>
      <c r="I25" s="36"/>
      <c r="J25" s="36"/>
    </row>
    <row r="26" spans="1:10" s="1" customFormat="1" ht="57" x14ac:dyDescent="0.2">
      <c r="A26" s="19" t="s">
        <v>153</v>
      </c>
      <c r="B26" s="18" t="str">
        <f>VLOOKUP($A26,Questions!$A$2:$X$333,2,0)</f>
        <v>Can access be restricted based on source IP address?*</v>
      </c>
      <c r="C26" s="21"/>
      <c r="D26" s="327"/>
      <c r="E26" s="168" t="str">
        <f>IF($C$18="No",'Auto Responses'!$A$5,IF($C26="Yes",VLOOKUP($A26,Questions!$A$2:$X$333,17,0)&amp;"",IF($C26="No",VLOOKUP($A26,Questions!$A$2:$X$333,16,0)&amp;"",VLOOKUP($A26,Questions!$A$2:$X$333,15,0)&amp;"")))</f>
        <v>Based on the response to REQU-03 on the "START HERE" tab, this question does not apply to this product or service.</v>
      </c>
      <c r="F26" s="202" t="str">
        <f>VLOOKUP($A26,'Institution Evaluation'!$A$56:$F$346,6,0)&amp;""</f>
        <v/>
      </c>
      <c r="I26" s="36"/>
      <c r="J26" s="36"/>
    </row>
    <row r="27" spans="1:10" s="1" customFormat="1" ht="57" x14ac:dyDescent="0.2">
      <c r="A27" s="19" t="s">
        <v>155</v>
      </c>
      <c r="B27" s="18" t="str">
        <f>VLOOKUP($A27,Questions!$A$2:$X$333,2,0)</f>
        <v>Will the consulting take place on-premises?</v>
      </c>
      <c r="C27" s="21"/>
      <c r="D27" s="327"/>
      <c r="E27" s="168" t="str">
        <f>IF($C$18="No",'Auto Responses'!$A$5,IF($C27="Yes",VLOOKUP($A27,Questions!$A$2:$X$333,17,0)&amp;"",IF($C27="No",VLOOKUP($A27,Questions!$A$2:$X$333,16,0)&amp;"",VLOOKUP($A27,Questions!$A$2:$X$333,15,0)&amp;"")))</f>
        <v>Based on the response to REQU-03 on the "START HERE" tab, this question does not apply to this product or service.</v>
      </c>
      <c r="F27" s="202" t="str">
        <f>VLOOKUP($A27,'Institution Evaluation'!$A$56:$F$346,6,0)&amp;""</f>
        <v/>
      </c>
      <c r="I27" s="36"/>
      <c r="J27" s="36"/>
    </row>
    <row r="28" spans="1:10" s="1" customFormat="1" ht="57" x14ac:dyDescent="0.2">
      <c r="A28" s="19" t="s">
        <v>156</v>
      </c>
      <c r="B28" s="18" t="str">
        <f>VLOOKUP($A28,Questions!$A$2:$X$333,2,0)</f>
        <v>Will the consultant require access to hardware in the institution's data centers?</v>
      </c>
      <c r="C28" s="21"/>
      <c r="D28" s="327"/>
      <c r="E28" s="168" t="str">
        <f>IF($C$18="No",'Auto Responses'!$A$5,IF($C28="Yes",VLOOKUP($A28,Questions!$A$2:$X$333,17,0)&amp;"",IF($C28="No",VLOOKUP($A28,Questions!$A$2:$X$333,16,0)&amp;"",VLOOKUP($A28,Questions!$A$2:$X$333,15,0)&amp;"")))</f>
        <v>Based on the response to REQU-03 on the "START HERE" tab, this question does not apply to this product or service.</v>
      </c>
      <c r="F28" s="202" t="str">
        <f>VLOOKUP($A28,'Institution Evaluation'!$A$56:$F$346,6,0)&amp;""</f>
        <v/>
      </c>
      <c r="I28" s="36"/>
      <c r="J28" s="36"/>
    </row>
    <row r="29" spans="1:10" s="1" customFormat="1" ht="57" x14ac:dyDescent="0.2">
      <c r="A29" s="19" t="s">
        <v>158</v>
      </c>
      <c r="B29" s="18" t="str">
        <f>VLOOKUP($A29,Questions!$A$2:$X$333,2,0)</f>
        <v>Will the consultant require an account within the institution's domain (@*.edu)?</v>
      </c>
      <c r="C29" s="21"/>
      <c r="D29" s="327"/>
      <c r="E29" s="168" t="str">
        <f>IF($C$18="No",'Auto Responses'!$A$5,IF($C29="Yes",VLOOKUP($A29,Questions!$A$2:$X$333,17,0)&amp;"",IF($C29="No",VLOOKUP($A29,Questions!$A$2:$X$333,16,0)&amp;"",VLOOKUP($A29,Questions!$A$2:$X$333,15,0)&amp;"")))</f>
        <v>Based on the response to REQU-03 on the "START HERE" tab, this question does not apply to this product or service.</v>
      </c>
      <c r="F29" s="202" t="str">
        <f>VLOOKUP($A29,'Institution Evaluation'!$A$56:$F$346,6,0)&amp;""</f>
        <v/>
      </c>
      <c r="I29" s="36"/>
      <c r="J29" s="36"/>
    </row>
    <row r="30" spans="1:10" s="1" customFormat="1" ht="57" x14ac:dyDescent="0.2">
      <c r="A30" s="19" t="s">
        <v>159</v>
      </c>
      <c r="B30" s="18" t="str">
        <f>VLOOKUP($A30,Questions!$A$2:$X$333,2,0)</f>
        <v>Will any data be transferred to the consultant's possession?</v>
      </c>
      <c r="C30" s="21"/>
      <c r="D30" s="327"/>
      <c r="E30" s="168" t="str">
        <f>IF($C$18="No",'Auto Responses'!$A$5,IF($C30="Yes",VLOOKUP($A30,Questions!$A$2:$X$333,17,0)&amp;"",IF($C30="No",VLOOKUP($A30,Questions!$A$2:$X$333,16,0)&amp;"",VLOOKUP($A30,Questions!$A$2:$X$333,15,0)&amp;"")))</f>
        <v>Based on the response to REQU-03 on the "START HERE" tab, this question does not apply to this product or service.</v>
      </c>
      <c r="F30" s="202" t="str">
        <f>VLOOKUP($A30,'Institution Evaluation'!$A$56:$F$346,6,0)&amp;""</f>
        <v/>
      </c>
      <c r="I30" s="36"/>
      <c r="J30" s="36"/>
    </row>
    <row r="31" spans="1:10" s="1" customFormat="1" ht="57.75" thickBot="1" x14ac:dyDescent="0.25">
      <c r="A31" s="19" t="s">
        <v>161</v>
      </c>
      <c r="B31" s="18" t="str">
        <f>VLOOKUP($A31,Questions!$A$2:$X$333,2,0)</f>
        <v>Will the consultant need remote access to the institution's network or systems?</v>
      </c>
      <c r="C31" s="21"/>
      <c r="D31" s="327"/>
      <c r="E31" s="168" t="str">
        <f>IF($C$18="No",'Auto Responses'!$A$5,IF($C31="Yes",VLOOKUP($A31,Questions!$A$2:$X$333,17,0)&amp;"",IF($C31="No",VLOOKUP($A31,Questions!$A$2:$X$333,16,0)&amp;"",VLOOKUP($A31,Questions!$A$2:$X$333,15,0)&amp;"")))</f>
        <v>Based on the response to REQU-03 on the "START HERE" tab, this question does not apply to this product or service.</v>
      </c>
      <c r="F31" s="202" t="str">
        <f>VLOOKUP($A31,'Institution Evaluation'!$A$56:$F$346,6,0)&amp;""</f>
        <v/>
      </c>
      <c r="G31" s="239" t="s">
        <v>1505</v>
      </c>
      <c r="I31" s="36"/>
      <c r="J31" s="36"/>
    </row>
    <row r="32" spans="1:10" s="1" customFormat="1" ht="37.35" customHeight="1" thickBot="1" x14ac:dyDescent="0.25">
      <c r="A32" s="64" t="str">
        <f>VLOOKUP(LEFT($A33,4),'Auto Responses'!$N$4:$O$38,2,0)&amp;""</f>
        <v xml:space="preserve">HIPAA Compliance </v>
      </c>
      <c r="B32" s="23"/>
      <c r="C32" s="13" t="s">
        <v>1555</v>
      </c>
      <c r="D32" s="13" t="s">
        <v>72</v>
      </c>
      <c r="E32" s="32" t="s">
        <v>883</v>
      </c>
      <c r="F32" s="188" t="s">
        <v>884</v>
      </c>
      <c r="I32" s="36"/>
      <c r="J32" s="36"/>
    </row>
    <row r="33" spans="1:10" s="1" customFormat="1" ht="49.5" customHeight="1" x14ac:dyDescent="0.2">
      <c r="A33" s="19" t="s">
        <v>604</v>
      </c>
      <c r="B33" s="18" t="str">
        <f>VLOOKUP($A33,Questions!$A$2:$X$333,2,0)</f>
        <v>Do your workforce members receive regular training related to the Health Insurance Portability and Accountability Act (HIPAA) Privacy and Security Rules and the HITECH Act?*</v>
      </c>
      <c r="C33" s="21"/>
      <c r="D33" s="327"/>
      <c r="E33" s="168" t="str">
        <f>IF($C$19="No",'Auto Responses'!$A$7,IF($C33="Yes",VLOOKUP($A33,Questions!$A$2:$X$333,17,0)&amp;"",IF($C33="No",VLOOKUP($A33,Questions!$A$2:$X$333,16,0)&amp;"",VLOOKUP($A33,Questions!$A$2:$X$333,15,0)&amp;"")))</f>
        <v>Based on the response to REQU-05 on the "START HERE" tab, this question does not apply to this product or service.</v>
      </c>
      <c r="F33" s="202" t="str">
        <f>VLOOKUP($A33,'Institution Evaluation'!$A$56:$F$346,6,0)&amp;""</f>
        <v/>
      </c>
      <c r="I33" s="36"/>
      <c r="J33" s="36"/>
    </row>
    <row r="34" spans="1:10" s="1" customFormat="1" ht="49.5" customHeight="1" x14ac:dyDescent="0.2">
      <c r="A34" s="19" t="s">
        <v>609</v>
      </c>
      <c r="B34" s="18" t="str">
        <f>VLOOKUP($A34,Questions!$A$2:$X$333,2,0)</f>
        <v>Have you identified areas of risk?*</v>
      </c>
      <c r="C34" s="21"/>
      <c r="D34" s="327"/>
      <c r="E34" s="168" t="str">
        <f>IF($C$19="No",'Auto Responses'!$A$7,IF($C34="Yes",VLOOKUP($A34,Questions!$A$2:$X$333,17,0)&amp;"",IF($C34="No",VLOOKUP($A34,Questions!$A$2:$X$333,16,0)&amp;"",VLOOKUP($A34,Questions!$A$2:$X$333,15,0)&amp;"")))</f>
        <v>Based on the response to REQU-05 on the "START HERE" tab, this question does not apply to this product or service.</v>
      </c>
      <c r="F34" s="202" t="str">
        <f>VLOOKUP($A34,'Institution Evaluation'!$A$56:$F$346,6,0)&amp;""</f>
        <v/>
      </c>
      <c r="I34" s="36"/>
      <c r="J34" s="36"/>
    </row>
    <row r="35" spans="1:10" s="1" customFormat="1" ht="49.5" customHeight="1" x14ac:dyDescent="0.2">
      <c r="A35" s="19" t="s">
        <v>611</v>
      </c>
      <c r="B35" s="18" t="str">
        <f>VLOOKUP($A35,Questions!$A$2:$X$333,2,0)</f>
        <v>Have the relevant policies/plans been tested?*</v>
      </c>
      <c r="C35" s="21"/>
      <c r="D35" s="327"/>
      <c r="E35" s="168" t="str">
        <f>IF($C$19="No",'Auto Responses'!$A$7,IF($C35="Yes",VLOOKUP($A35,Questions!$A$2:$X$333,17,0)&amp;"",IF($C35="No",VLOOKUP($A35,Questions!$A$2:$X$333,16,0)&amp;"",VLOOKUP($A35,Questions!$A$2:$X$333,15,0)&amp;"")))</f>
        <v>Based on the response to REQU-05 on the "START HERE" tab, this question does not apply to this product or service.</v>
      </c>
      <c r="F35" s="202" t="str">
        <f>VLOOKUP($A35,'Institution Evaluation'!$A$56:$F$346,6,0)&amp;""</f>
        <v/>
      </c>
      <c r="I35" s="36"/>
      <c r="J35" s="36"/>
    </row>
    <row r="36" spans="1:10" s="1" customFormat="1" ht="49.5" customHeight="1" x14ac:dyDescent="0.2">
      <c r="A36" s="19" t="s">
        <v>613</v>
      </c>
      <c r="B36" s="18" t="str">
        <f>VLOOKUP($A36,Questions!$A$2:$X$333,2,0)</f>
        <v>Have you entered into a Business Associate Agreements with all subcontractors who may have access to protected health information (PHI)?*</v>
      </c>
      <c r="C36" s="21"/>
      <c r="D36" s="327"/>
      <c r="E36" s="168" t="str">
        <f>IF($C$19="No",'Auto Responses'!$A$7,IF($C36="Yes",VLOOKUP($A36,Questions!$A$2:$X$333,17,0)&amp;"",IF($C36="No",VLOOKUP($A36,Questions!$A$2:$X$333,16,0)&amp;"",VLOOKUP($A36,Questions!$A$2:$X$333,15,0)&amp;"")))</f>
        <v>Based on the response to REQU-05 on the "START HERE" tab, this question does not apply to this product or service.</v>
      </c>
      <c r="F36" s="202" t="str">
        <f>VLOOKUP($A36,'Institution Evaluation'!$A$56:$F$346,6,0)&amp;""</f>
        <v/>
      </c>
      <c r="I36" s="36"/>
      <c r="J36" s="36"/>
    </row>
    <row r="37" spans="1:10" s="1" customFormat="1" ht="49.5" customHeight="1" x14ac:dyDescent="0.2">
      <c r="A37" s="19" t="s">
        <v>615</v>
      </c>
      <c r="B37" s="18" t="str">
        <f>VLOOKUP($A37,Questions!$A$2:$X$333,2,0)</f>
        <v>Do you monitor or receive information regarding changes in HIPAA regulations?</v>
      </c>
      <c r="C37" s="21"/>
      <c r="D37" s="327"/>
      <c r="E37" s="168" t="str">
        <f>IF($C$19="No",'Auto Responses'!$A$7,IF($C37="Yes",VLOOKUP($A37,Questions!$A$2:$X$333,17,0)&amp;"",IF($C37="No",VLOOKUP($A37,Questions!$A$2:$X$333,16,0)&amp;"",VLOOKUP($A37,Questions!$A$2:$X$333,15,0)&amp;"")))</f>
        <v>Based on the response to REQU-05 on the "START HERE" tab, this question does not apply to this product or service.</v>
      </c>
      <c r="F37" s="202" t="str">
        <f>VLOOKUP($A37,'Institution Evaluation'!$A$56:$F$346,6,0)&amp;""</f>
        <v/>
      </c>
      <c r="I37" s="36"/>
      <c r="J37" s="36"/>
    </row>
    <row r="38" spans="1:10" s="1" customFormat="1" ht="49.5" customHeight="1" x14ac:dyDescent="0.2">
      <c r="A38" s="19" t="s">
        <v>616</v>
      </c>
      <c r="B38" s="18" t="str">
        <f>VLOOKUP($A38,Questions!$A$2:$X$333,2,0)</f>
        <v>Has your organization designated HIPAA Privacy and Security officers as required by the rules?</v>
      </c>
      <c r="C38" s="21"/>
      <c r="D38" s="327"/>
      <c r="E38" s="168" t="str">
        <f>IF($C$19="No",'Auto Responses'!$A$7,IF($C38="Yes",VLOOKUP($A38,Questions!$A$2:$X$333,17,0)&amp;"",IF($C38="No",VLOOKUP($A38,Questions!$A$2:$X$333,16,0)&amp;"",VLOOKUP($A38,Questions!$A$2:$X$333,15,0)&amp;"")))</f>
        <v>Based on the response to REQU-05 on the "START HERE" tab, this question does not apply to this product or service.</v>
      </c>
      <c r="F38" s="202" t="str">
        <f>VLOOKUP($A38,'Institution Evaluation'!$A$56:$F$346,6,0)&amp;""</f>
        <v/>
      </c>
      <c r="I38" s="36"/>
      <c r="J38" s="36"/>
    </row>
    <row r="39" spans="1:10" s="1" customFormat="1" ht="49.5" customHeight="1" x14ac:dyDescent="0.2">
      <c r="A39" s="19" t="s">
        <v>617</v>
      </c>
      <c r="B39" s="18" t="str">
        <f>VLOOKUP($A39,Questions!$A$2:$X$333,2,0)</f>
        <v>Do you comply with the requirements of the Health Information Technology for Economic and Clinical Health Act (HITECH)?</v>
      </c>
      <c r="C39" s="21"/>
      <c r="D39" s="327"/>
      <c r="E39" s="168" t="str">
        <f>IF($C$19="No",'Auto Responses'!$A$7,IF($C39="Yes",VLOOKUP($A39,Questions!$A$2:$X$333,17,0)&amp;"",IF($C39="No",VLOOKUP($A39,Questions!$A$2:$X$333,16,0)&amp;"",VLOOKUP($A39,Questions!$A$2:$X$333,15,0)&amp;"")))</f>
        <v>Based on the response to REQU-05 on the "START HERE" tab, this question does not apply to this product or service.</v>
      </c>
      <c r="F39" s="202" t="str">
        <f>VLOOKUP($A39,'Institution Evaluation'!$A$56:$F$346,6,0)&amp;""</f>
        <v/>
      </c>
      <c r="I39" s="36"/>
      <c r="J39" s="36"/>
    </row>
    <row r="40" spans="1:10" s="1" customFormat="1" ht="49.5" customHeight="1" x14ac:dyDescent="0.2">
      <c r="A40" s="19" t="s">
        <v>619</v>
      </c>
      <c r="B40" s="18" t="str">
        <f>VLOOKUP($A40,Questions!$A$2:$X$333,2,0)</f>
        <v>Have you conducted a risk analysis as required under the HIPAA Security Rule?</v>
      </c>
      <c r="C40" s="21"/>
      <c r="D40" s="327"/>
      <c r="E40" s="168" t="str">
        <f>IF($C$19="No",'Auto Responses'!$A$7,IF($C40="Yes",VLOOKUP($A40,Questions!$A$2:$X$333,17,0)&amp;"",IF($C40="No",VLOOKUP($A40,Questions!$A$2:$X$333,16,0)&amp;"",VLOOKUP($A40,Questions!$A$2:$X$333,15,0)&amp;"")))</f>
        <v>Based on the response to REQU-05 on the "START HERE" tab, this question does not apply to this product or service.</v>
      </c>
      <c r="F40" s="202" t="str">
        <f>VLOOKUP($A40,'Institution Evaluation'!$A$56:$F$346,6,0)&amp;""</f>
        <v/>
      </c>
      <c r="I40" s="36"/>
      <c r="J40" s="36"/>
    </row>
    <row r="41" spans="1:10" s="1" customFormat="1" ht="49.5" customHeight="1" x14ac:dyDescent="0.2">
      <c r="A41" s="19" t="s">
        <v>621</v>
      </c>
      <c r="B41" s="18" t="str">
        <f>VLOOKUP($A41,Questions!$A$2:$X$333,2,0)</f>
        <v>Have you taken actions to mitigate the identified risks?</v>
      </c>
      <c r="C41" s="21"/>
      <c r="D41" s="327"/>
      <c r="E41" s="168" t="str">
        <f>IF($C$19="No",'Auto Responses'!$A$7,IF($C41="Yes",VLOOKUP($A41,Questions!$A$2:$X$333,17,0)&amp;"",IF($C41="No",VLOOKUP($A41,Questions!$A$2:$X$333,16,0)&amp;"",VLOOKUP($A41,Questions!$A$2:$X$333,15,0)&amp;"")))</f>
        <v>Based on the response to REQU-05 on the "START HERE" tab, this question does not apply to this product or service.</v>
      </c>
      <c r="F41" s="202" t="str">
        <f>VLOOKUP($A41,'Institution Evaluation'!$A$56:$F$346,6,0)&amp;""</f>
        <v/>
      </c>
      <c r="I41" s="36"/>
      <c r="J41" s="36"/>
    </row>
    <row r="42" spans="1:10" s="1" customFormat="1" ht="49.5" customHeight="1" x14ac:dyDescent="0.2">
      <c r="A42" s="19" t="s">
        <v>623</v>
      </c>
      <c r="B42" s="18" t="str">
        <f>VLOOKUP($A42,Questions!$A$2:$X$333,2,0)</f>
        <v>Does your application require user and system administrator password changes at a frequency no greater than 90 days?</v>
      </c>
      <c r="C42" s="21"/>
      <c r="D42" s="327"/>
      <c r="E42" s="168" t="str">
        <f>IF($C$19="No",'Auto Responses'!$A$7,IF($C42="Yes",VLOOKUP($A42,Questions!$A$2:$X$333,17,0)&amp;"",IF($C42="No",VLOOKUP($A42,Questions!$A$2:$X$333,16,0)&amp;"",VLOOKUP($A42,Questions!$A$2:$X$333,15,0)&amp;"")))</f>
        <v>Based on the response to REQU-05 on the "START HERE" tab, this question does not apply to this product or service.</v>
      </c>
      <c r="F42" s="202" t="str">
        <f>VLOOKUP($A42,'Institution Evaluation'!$A$56:$F$346,6,0)&amp;""</f>
        <v/>
      </c>
      <c r="I42" s="36"/>
      <c r="J42" s="36"/>
    </row>
    <row r="43" spans="1:10" s="1" customFormat="1" ht="49.5" customHeight="1" x14ac:dyDescent="0.2">
      <c r="A43" s="19" t="s">
        <v>625</v>
      </c>
      <c r="B43" s="18" t="str">
        <f>VLOOKUP($A43,Questions!$A$2:$X$333,2,0)</f>
        <v>Does your application require users to set their own password after an administrator reset or on first use of the account?</v>
      </c>
      <c r="C43" s="21"/>
      <c r="D43" s="321"/>
      <c r="E43" s="168" t="str">
        <f>IF($C$19="No",'Auto Responses'!$A$7,IF($C43="Yes",VLOOKUP($A43,Questions!$A$2:$X$333,17,0)&amp;"",IF($C43="No",VLOOKUP($A43,Questions!$A$2:$X$333,16,0)&amp;"",VLOOKUP($A43,Questions!$A$2:$X$333,15,0)&amp;"")))</f>
        <v>Based on the response to REQU-05 on the "START HERE" tab, this question does not apply to this product or service.</v>
      </c>
      <c r="F43" s="202" t="str">
        <f>VLOOKUP($A43,'Institution Evaluation'!$A$56:$F$346,6,0)&amp;""</f>
        <v/>
      </c>
      <c r="I43" s="36"/>
      <c r="J43" s="36"/>
    </row>
    <row r="44" spans="1:10" s="1" customFormat="1" ht="49.5" customHeight="1" x14ac:dyDescent="0.2">
      <c r="A44" s="19" t="s">
        <v>627</v>
      </c>
      <c r="B44" s="18" t="str">
        <f>VLOOKUP($A44,Questions!$A$2:$X$333,2,0)</f>
        <v>Does your application lock out an account after a number of failed login attempts?</v>
      </c>
      <c r="C44" s="21"/>
      <c r="D44" s="321"/>
      <c r="E44" s="168" t="str">
        <f>IF($C$19="No",'Auto Responses'!$A$7,IF($C44="Yes",VLOOKUP($A44,Questions!$A$2:$X$333,17,0)&amp;"",IF($C44="No",VLOOKUP($A44,Questions!$A$2:$X$333,16,0)&amp;"",VLOOKUP($A44,Questions!$A$2:$X$333,15,0)&amp;"")))</f>
        <v>Based on the response to REQU-05 on the "START HERE" tab, this question does not apply to this product or service.</v>
      </c>
      <c r="F44" s="202" t="str">
        <f>VLOOKUP($A44,'Institution Evaluation'!$A$56:$F$346,6,0)&amp;""</f>
        <v/>
      </c>
      <c r="I44" s="36"/>
      <c r="J44" s="36"/>
    </row>
    <row r="45" spans="1:10" s="1" customFormat="1" ht="49.5" customHeight="1" x14ac:dyDescent="0.2">
      <c r="A45" s="19" t="s">
        <v>629</v>
      </c>
      <c r="B45" s="18" t="str">
        <f>VLOOKUP($A45,Questions!$A$2:$X$333,2,0)</f>
        <v>Does your application automatically lock or log-out an account after a period of inactivity?</v>
      </c>
      <c r="C45" s="21"/>
      <c r="D45" s="321"/>
      <c r="E45" s="168" t="str">
        <f>IF($C$19="No",'Auto Responses'!$A$7,IF($C45="Yes",VLOOKUP($A45,Questions!$A$2:$X$333,17,0)&amp;"",IF($C45="No",VLOOKUP($A45,Questions!$A$2:$X$333,16,0)&amp;"",VLOOKUP($A45,Questions!$A$2:$X$333,15,0)&amp;"")))</f>
        <v>Based on the response to REQU-05 on the "START HERE" tab, this question does not apply to this product or service.</v>
      </c>
      <c r="F45" s="202" t="str">
        <f>VLOOKUP($A45,'Institution Evaluation'!$A$56:$F$346,6,0)&amp;""</f>
        <v/>
      </c>
      <c r="I45" s="36"/>
      <c r="J45" s="36"/>
    </row>
    <row r="46" spans="1:10" s="1" customFormat="1" ht="49.5" customHeight="1" x14ac:dyDescent="0.2">
      <c r="A46" s="19" t="s">
        <v>631</v>
      </c>
      <c r="B46" s="18" t="str">
        <f>VLOOKUP($A46,Questions!$A$2:$X$333,2,0)</f>
        <v>Are passwords visible in plain text, whether when stored or entered, including service level accounts (i.e., database accounts, etc.)?</v>
      </c>
      <c r="C46" s="21"/>
      <c r="D46" s="321"/>
      <c r="E46" s="168" t="str">
        <f>IF($C$19="No",'Auto Responses'!$A$7,IF($C46="Yes",VLOOKUP($A46,Questions!$A$2:$X$333,17,0)&amp;"",IF($C46="No",VLOOKUP($A46,Questions!$A$2:$X$333,16,0)&amp;"",VLOOKUP($A46,Questions!$A$2:$X$333,15,0)&amp;"")))</f>
        <v>Based on the response to REQU-05 on the "START HERE" tab, this question does not apply to this product or service.</v>
      </c>
      <c r="F46" s="202" t="str">
        <f>VLOOKUP($A46,'Institution Evaluation'!$A$56:$F$346,6,0)&amp;""</f>
        <v/>
      </c>
      <c r="I46" s="36"/>
      <c r="J46" s="36"/>
    </row>
    <row r="47" spans="1:10" s="1" customFormat="1" ht="49.5" customHeight="1" x14ac:dyDescent="0.2">
      <c r="A47" s="19" t="s">
        <v>633</v>
      </c>
      <c r="B47" s="18" t="str">
        <f>VLOOKUP($A47,Questions!$A$2:$X$333,2,0)</f>
        <v>If the application is institution-hosted, can all service level and administrative account passwords be changed by the institution?</v>
      </c>
      <c r="C47" s="21"/>
      <c r="D47" s="321"/>
      <c r="E47" s="168" t="str">
        <f>IF($C$19="No",'Auto Responses'!$A$7,IF($C47="Yes",VLOOKUP($A47,Questions!$A$2:$X$333,17,0)&amp;"",IF($C47="No",VLOOKUP($A47,Questions!$A$2:$X$333,16,0)&amp;"",VLOOKUP($A47,Questions!$A$2:$X$333,15,0)&amp;"")))</f>
        <v>Based on the response to REQU-05 on the "START HERE" tab, this question does not apply to this product or service.</v>
      </c>
      <c r="F47" s="202" t="str">
        <f>VLOOKUP($A47,'Institution Evaluation'!$A$56:$F$346,6,0)&amp;""</f>
        <v/>
      </c>
      <c r="I47" s="36"/>
      <c r="J47" s="36"/>
    </row>
    <row r="48" spans="1:10" s="1" customFormat="1" ht="49.5" customHeight="1" x14ac:dyDescent="0.2">
      <c r="A48" s="19" t="s">
        <v>635</v>
      </c>
      <c r="B48" s="18" t="str">
        <f>VLOOKUP($A48,Questions!$A$2:$X$333,2,0)</f>
        <v>Does your application provide the ability to define user access levels?</v>
      </c>
      <c r="C48" s="21"/>
      <c r="D48" s="321"/>
      <c r="E48" s="168" t="str">
        <f>IF($C$19="No",'Auto Responses'!$A$7,IF($C48="Yes",VLOOKUP($A48,Questions!$A$2:$X$333,17,0)&amp;"",IF($C48="No",VLOOKUP($A48,Questions!$A$2:$X$333,16,0)&amp;"",VLOOKUP($A48,Questions!$A$2:$X$333,15,0)&amp;"")))</f>
        <v>Based on the response to REQU-05 on the "START HERE" tab, this question does not apply to this product or service.</v>
      </c>
      <c r="F48" s="202" t="str">
        <f>VLOOKUP($A48,'Institution Evaluation'!$A$56:$F$346,6,0)&amp;""</f>
        <v/>
      </c>
      <c r="I48" s="36"/>
      <c r="J48" s="36"/>
    </row>
    <row r="49" spans="1:10" s="1" customFormat="1" ht="49.5" customHeight="1" x14ac:dyDescent="0.2">
      <c r="A49" s="19" t="s">
        <v>637</v>
      </c>
      <c r="B49" s="18" t="str">
        <f>VLOOKUP($A49,Questions!$A$2:$X$333,2,0)</f>
        <v>Does your application support varying levels of access to administrative tasks defined individually per user?</v>
      </c>
      <c r="C49" s="21"/>
      <c r="D49" s="321"/>
      <c r="E49" s="168" t="str">
        <f>IF($C$19="No",'Auto Responses'!$A$7,IF($C49="Yes",VLOOKUP($A49,Questions!$A$2:$X$333,17,0)&amp;"",IF($C49="No",VLOOKUP($A49,Questions!$A$2:$X$333,16,0)&amp;"",VLOOKUP($A49,Questions!$A$2:$X$333,15,0)&amp;"")))</f>
        <v>Based on the response to REQU-05 on the "START HERE" tab, this question does not apply to this product or service.</v>
      </c>
      <c r="F49" s="202" t="str">
        <f>VLOOKUP($A49,'Institution Evaluation'!$A$56:$F$346,6,0)&amp;""</f>
        <v/>
      </c>
      <c r="I49" s="36"/>
      <c r="J49" s="36"/>
    </row>
    <row r="50" spans="1:10" s="1" customFormat="1" ht="49.5" customHeight="1" x14ac:dyDescent="0.2">
      <c r="A50" s="19" t="s">
        <v>639</v>
      </c>
      <c r="B50" s="18" t="str">
        <f>VLOOKUP($A50,Questions!$A$2:$X$333,2,0)</f>
        <v>Does your application support varying levels of access to records based on user ID?</v>
      </c>
      <c r="C50" s="21"/>
      <c r="D50" s="321"/>
      <c r="E50" s="168" t="str">
        <f>IF($C$19="No",'Auto Responses'!$A$7,IF($C50="Yes",VLOOKUP($A50,Questions!$A$2:$X$333,17,0)&amp;"",IF($C50="No",VLOOKUP($A50,Questions!$A$2:$X$333,16,0)&amp;"",VLOOKUP($A50,Questions!$A$2:$X$333,15,0)&amp;"")))</f>
        <v>Based on the response to REQU-05 on the "START HERE" tab, this question does not apply to this product or service.</v>
      </c>
      <c r="F50" s="202" t="str">
        <f>VLOOKUP($A50,'Institution Evaluation'!$A$56:$F$346,6,0)&amp;""</f>
        <v/>
      </c>
      <c r="I50" s="36"/>
      <c r="J50" s="36"/>
    </row>
    <row r="51" spans="1:10" s="1" customFormat="1" ht="49.5" customHeight="1" x14ac:dyDescent="0.2">
      <c r="A51" s="19" t="s">
        <v>640</v>
      </c>
      <c r="B51" s="18" t="str">
        <f>VLOOKUP($A51,Questions!$A$2:$X$333,2,0)</f>
        <v>Is there a limit to the number of groups to which a user can be assigned?</v>
      </c>
      <c r="C51" s="21"/>
      <c r="D51" s="321"/>
      <c r="E51" s="168" t="str">
        <f>IF($C$19="No",'Auto Responses'!$A$7,IF($C51="Yes",VLOOKUP($A51,Questions!$A$2:$X$333,17,0)&amp;"",IF($C51="No",VLOOKUP($A51,Questions!$A$2:$X$333,16,0)&amp;"",VLOOKUP($A51,Questions!$A$2:$X$333,15,0)&amp;"")))</f>
        <v>Based on the response to REQU-05 on the "START HERE" tab, this question does not apply to this product or service.</v>
      </c>
      <c r="F51" s="202" t="str">
        <f>VLOOKUP($A51,'Institution Evaluation'!$A$56:$F$346,6,0)&amp;""</f>
        <v/>
      </c>
      <c r="I51" s="36"/>
      <c r="J51" s="36"/>
    </row>
    <row r="52" spans="1:10" s="1" customFormat="1" ht="49.5" customHeight="1" x14ac:dyDescent="0.2">
      <c r="A52" s="19" t="s">
        <v>642</v>
      </c>
      <c r="B52" s="18" t="str">
        <f>VLOOKUP($A52,Questions!$A$2:$X$333,2,0)</f>
        <v>Do accounts used for solution provider-supplied remote support abide by the same authentication policies and access logging as the rest of the system?</v>
      </c>
      <c r="C52" s="21"/>
      <c r="D52" s="321"/>
      <c r="E52" s="168" t="str">
        <f>IF($C$19="No",'Auto Responses'!$A$7,IF($C52="Yes",VLOOKUP($A52,Questions!$A$2:$X$333,17,0)&amp;"",IF($C52="No",VLOOKUP($A52,Questions!$A$2:$X$333,16,0)&amp;"",VLOOKUP($A52,Questions!$A$2:$X$333,15,0)&amp;"")))</f>
        <v>Based on the response to REQU-05 on the "START HERE" tab, this question does not apply to this product or service.</v>
      </c>
      <c r="F52" s="202" t="str">
        <f>VLOOKUP($A52,'Institution Evaluation'!$A$56:$F$346,6,0)&amp;""</f>
        <v/>
      </c>
      <c r="I52" s="36"/>
      <c r="J52" s="36"/>
    </row>
    <row r="53" spans="1:10" s="1" customFormat="1" ht="49.5" customHeight="1" x14ac:dyDescent="0.2">
      <c r="A53" s="19" t="s">
        <v>643</v>
      </c>
      <c r="B53" s="18" t="str">
        <f>VLOOKUP($A53,Questions!$A$2:$X$333,2,0)</f>
        <v>Does the application log record access including specific user, date/time of access, and originating IP or device?</v>
      </c>
      <c r="C53" s="21"/>
      <c r="D53" s="321"/>
      <c r="E53" s="168" t="str">
        <f>IF($C$19="No",'Auto Responses'!$A$7,IF($C53="Yes",VLOOKUP($A53,Questions!$A$2:$X$333,17,0)&amp;"",IF($C53="No",VLOOKUP($A53,Questions!$A$2:$X$333,16,0)&amp;"",VLOOKUP($A53,Questions!$A$2:$X$333,15,0)&amp;"")))</f>
        <v>Based on the response to REQU-05 on the "START HERE" tab, this question does not apply to this product or service.</v>
      </c>
      <c r="F53" s="202" t="str">
        <f>VLOOKUP($A53,'Institution Evaluation'!$A$56:$F$346,6,0)&amp;""</f>
        <v/>
      </c>
      <c r="I53" s="36"/>
      <c r="J53" s="36"/>
    </row>
    <row r="54" spans="1:10" s="1" customFormat="1" ht="49.5" customHeight="1" x14ac:dyDescent="0.2">
      <c r="A54" s="19" t="s">
        <v>644</v>
      </c>
      <c r="B54" s="18" t="str">
        <f>VLOOKUP($A54,Questions!$A$2:$X$333,2,0)</f>
        <v>Does the application log administrative activity, such as user account access changes and password changes, including specific user, date/time of changes, and originating IP or device?</v>
      </c>
      <c r="C54" s="21"/>
      <c r="D54" s="321"/>
      <c r="E54" s="168" t="str">
        <f>IF($C$19="No",'Auto Responses'!$A$7,IF($C54="Yes",VLOOKUP($A54,Questions!$A$2:$X$333,17,0)&amp;"",IF($C54="No",VLOOKUP($A54,Questions!$A$2:$X$333,16,0)&amp;"",VLOOKUP($A54,Questions!$A$2:$X$333,15,0)&amp;"")))</f>
        <v>Based on the response to REQU-05 on the "START HERE" tab, this question does not apply to this product or service.</v>
      </c>
      <c r="F54" s="202" t="str">
        <f>VLOOKUP($A54,'Institution Evaluation'!$A$56:$F$346,6,0)&amp;""</f>
        <v/>
      </c>
      <c r="I54" s="36"/>
      <c r="J54" s="36"/>
    </row>
    <row r="55" spans="1:10" s="1" customFormat="1" ht="49.5" customHeight="1" x14ac:dyDescent="0.2">
      <c r="A55" s="19" t="s">
        <v>646</v>
      </c>
      <c r="B55" s="18" t="str">
        <f>VLOOKUP($A55,Questions!$A$2:$X$333,2,0)</f>
        <v>Do you retain logs for at least as long as required by HIPAA regulations?</v>
      </c>
      <c r="C55" s="77"/>
      <c r="D55" s="321"/>
      <c r="E55" s="168" t="str">
        <f>IF($C$19="No",'Auto Responses'!$A$7,IF($C55="Yes",VLOOKUP($A55,Questions!$A$2:$X$333,17,0)&amp;"",IF($C55="No",VLOOKUP($A55,Questions!$A$2:$X$333,16,0)&amp;"",VLOOKUP($A55,Questions!$A$2:$X$333,15,0)&amp;"")))</f>
        <v>Based on the response to REQU-05 on the "START HERE" tab, this question does not apply to this product or service.</v>
      </c>
      <c r="F55" s="202" t="str">
        <f>VLOOKUP($A55,'Institution Evaluation'!$A$56:$F$346,6,0)&amp;""</f>
        <v/>
      </c>
      <c r="I55" s="36"/>
      <c r="J55" s="36"/>
    </row>
    <row r="56" spans="1:10" s="1" customFormat="1" ht="49.5" customHeight="1" x14ac:dyDescent="0.2">
      <c r="A56" s="19" t="s">
        <v>648</v>
      </c>
      <c r="B56" s="18" t="str">
        <f>VLOOKUP($A56,Questions!$A$2:$X$333,2,0)</f>
        <v>Can the application logs be archived?</v>
      </c>
      <c r="C56" s="21"/>
      <c r="D56" s="321"/>
      <c r="E56" s="168" t="str">
        <f>IF($C$19="No",'Auto Responses'!$A$7,IF($C56="Yes",VLOOKUP($A56,Questions!$A$2:$X$333,17,0)&amp;"",IF($C56="No",VLOOKUP($A56,Questions!$A$2:$X$333,16,0)&amp;"",VLOOKUP($A56,Questions!$A$2:$X$333,15,0)&amp;"")))</f>
        <v>Based on the response to REQU-05 on the "START HERE" tab, this question does not apply to this product or service.</v>
      </c>
      <c r="F56" s="202" t="str">
        <f>VLOOKUP($A56,'Institution Evaluation'!$A$56:$F$346,6,0)&amp;""</f>
        <v/>
      </c>
      <c r="I56" s="36"/>
      <c r="J56" s="36"/>
    </row>
    <row r="57" spans="1:10" s="1" customFormat="1" ht="49.5" customHeight="1" x14ac:dyDescent="0.2">
      <c r="A57" s="19" t="s">
        <v>650</v>
      </c>
      <c r="B57" s="18" t="str">
        <f>VLOOKUP($A57,Questions!$A$2:$X$333,2,0)</f>
        <v>Can the application logs be saved externally?</v>
      </c>
      <c r="C57" s="21"/>
      <c r="D57" s="321"/>
      <c r="E57" s="168" t="str">
        <f>IF($C$19="No",'Auto Responses'!$A$7,IF($C57="Yes",VLOOKUP($A57,Questions!$A$2:$X$333,17,0)&amp;"",IF($C57="No",VLOOKUP($A57,Questions!$A$2:$X$333,16,0)&amp;"",VLOOKUP($A57,Questions!$A$2:$X$333,15,0)&amp;"")))</f>
        <v>Based on the response to REQU-05 on the "START HERE" tab, this question does not apply to this product or service.</v>
      </c>
      <c r="F57" s="202" t="str">
        <f>VLOOKUP($A57,'Institution Evaluation'!$A$56:$F$346,6,0)&amp;""</f>
        <v/>
      </c>
      <c r="I57" s="36"/>
      <c r="J57" s="36"/>
    </row>
    <row r="58" spans="1:10" s="1" customFormat="1" ht="49.5" customHeight="1" x14ac:dyDescent="0.2">
      <c r="A58" s="19" t="s">
        <v>652</v>
      </c>
      <c r="B58" s="18" t="str">
        <f>VLOOKUP($A58,Questions!$A$2:$X$333,2,0)</f>
        <v>Do you have a disaster recovery plan and emergency mode operation plan?</v>
      </c>
      <c r="C58" s="21"/>
      <c r="D58" s="321"/>
      <c r="E58" s="168" t="str">
        <f>IF($C$19="No",'Auto Responses'!$A$7,IF($C58="Yes",VLOOKUP($A58,Questions!$A$2:$X$333,17,0)&amp;"",IF($C58="No",VLOOKUP($A58,Questions!$A$2:$X$333,16,0)&amp;"",VLOOKUP($A58,Questions!$A$2:$X$333,15,0)&amp;"")))</f>
        <v>Based on the response to REQU-05 on the "START HERE" tab, this question does not apply to this product or service.</v>
      </c>
      <c r="F58" s="202" t="str">
        <f>VLOOKUP($A58,'Institution Evaluation'!$A$56:$F$346,6,0)&amp;""</f>
        <v/>
      </c>
      <c r="I58" s="36"/>
      <c r="J58" s="36"/>
    </row>
    <row r="59" spans="1:10" s="1" customFormat="1" ht="49.5" customHeight="1" x14ac:dyDescent="0.2">
      <c r="A59" s="19" t="s">
        <v>653</v>
      </c>
      <c r="B59" s="18" t="str">
        <f>VLOOKUP($A59,Questions!$A$2:$X$333,2,0)</f>
        <v>Can you provide a HIPAA compliance attestation document?</v>
      </c>
      <c r="C59" s="21"/>
      <c r="D59" s="321"/>
      <c r="E59" s="168" t="str">
        <f>IF($C$19="No",'Auto Responses'!$A$7,IF($C59="Yes",VLOOKUP($A59,Questions!$A$2:$X$333,17,0)&amp;"",IF($C59="No",VLOOKUP($A59,Questions!$A$2:$X$333,16,0)&amp;"",VLOOKUP($A59,Questions!$A$2:$X$333,15,0)&amp;"")))</f>
        <v>Based on the response to REQU-05 on the "START HERE" tab, this question does not apply to this product or service.</v>
      </c>
      <c r="F59" s="202" t="str">
        <f>VLOOKUP($A59,'Institution Evaluation'!$A$56:$F$346,6,0)&amp;""</f>
        <v/>
      </c>
      <c r="I59" s="36"/>
      <c r="J59" s="36"/>
    </row>
    <row r="60" spans="1:10" s="1" customFormat="1" ht="49.5" customHeight="1" x14ac:dyDescent="0.2">
      <c r="A60" s="19" t="s">
        <v>655</v>
      </c>
      <c r="B60" s="18" t="str">
        <f>VLOOKUP($A60,Questions!$A$2:$X$333,2,0)</f>
        <v>Are you willing to enter into a Business Associate Agreement (BAA)?</v>
      </c>
      <c r="C60" s="21"/>
      <c r="D60" s="321"/>
      <c r="E60" s="168" t="str">
        <f>IF($C$19="No",'Auto Responses'!$A$7,IF($C60="Yes",VLOOKUP($A60,Questions!$A$2:$X$333,17,0)&amp;"",IF($C60="No",VLOOKUP($A60,Questions!$A$2:$X$333,16,0)&amp;"",VLOOKUP($A60,Questions!$A$2:$X$333,15,0)&amp;"")))</f>
        <v>Based on the response to REQU-05 on the "START HERE" tab, this question does not apply to this product or service.</v>
      </c>
      <c r="F60" s="202" t="str">
        <f>VLOOKUP($A60,'Institution Evaluation'!$A$56:$F$346,6,0)&amp;""</f>
        <v/>
      </c>
      <c r="I60" s="36"/>
      <c r="J60" s="36"/>
    </row>
    <row r="61" spans="1:10" s="1" customFormat="1" ht="49.5" customHeight="1" thickBot="1" x14ac:dyDescent="0.25">
      <c r="A61" s="19" t="s">
        <v>657</v>
      </c>
      <c r="B61" s="18" t="str">
        <f>VLOOKUP($A61,Questions!$A$2:$X$333,2,0)</f>
        <v>Do your data backup and retention policies and practices meet HIPAA requirements?</v>
      </c>
      <c r="C61" s="21"/>
      <c r="D61" s="321"/>
      <c r="E61" s="168" t="str">
        <f>IF($C$19="No",'Auto Responses'!$A$7,IF($C61="Yes",VLOOKUP($A61,Questions!$A$2:$X$333,17,0)&amp;"",IF($C61="No",VLOOKUP($A61,Questions!$A$2:$X$333,16,0)&amp;"",VLOOKUP($A61,Questions!$A$2:$X$333,15,0)&amp;"")))</f>
        <v>Based on the response to REQU-05 on the "START HERE" tab, this question does not apply to this product or service.</v>
      </c>
      <c r="F61" s="202" t="str">
        <f>VLOOKUP($A61,'Institution Evaluation'!$A$56:$F$346,6,0)&amp;""</f>
        <v/>
      </c>
      <c r="G61" s="239" t="s">
        <v>1505</v>
      </c>
      <c r="I61" s="36"/>
      <c r="J61" s="36"/>
    </row>
    <row r="62" spans="1:10" s="1" customFormat="1" ht="37.35" customHeight="1" thickBot="1" x14ac:dyDescent="0.25">
      <c r="A62" s="64" t="str">
        <f>VLOOKUP(LEFT($A63,4),'Auto Responses'!$N$4:$O$38,2,0)&amp;""</f>
        <v xml:space="preserve"> Payment Card Industry Data Security Standard (PCI DSS)</v>
      </c>
      <c r="B62" s="23"/>
      <c r="C62" s="13" t="s">
        <v>1555</v>
      </c>
      <c r="D62" s="13" t="s">
        <v>72</v>
      </c>
      <c r="E62" s="32" t="s">
        <v>883</v>
      </c>
      <c r="F62" s="188" t="s">
        <v>884</v>
      </c>
      <c r="I62" s="36"/>
      <c r="J62" s="36"/>
    </row>
    <row r="63" spans="1:10" s="1" customFormat="1" ht="38.25" customHeight="1" x14ac:dyDescent="0.2">
      <c r="A63" s="19" t="s">
        <v>658</v>
      </c>
      <c r="B63" s="18" t="str">
        <f>VLOOKUP($A63,Questions!$A$2:$X$333,2,0)</f>
        <v>Do you have a current, executed within the past year, Attestation of Compliance (AoC) or Report on Compliance (RoC)?*</v>
      </c>
      <c r="C63" s="21"/>
      <c r="D63" s="321"/>
      <c r="E63" s="168" t="str">
        <f>IF($C$20="No",'Auto Responses'!$A$8,IF($C63="Yes",VLOOKUP($A63,Questions!$A$2:$X$333,17,0)&amp;"",IF($C63="No",VLOOKUP($A63,Questions!$A$2:$X$333,16,0)&amp;"",VLOOKUP($A63,Questions!$A$2:$X$333,15,0)&amp;"")))</f>
        <v>Based on the response to REQU-06 on the "START HERE" tab, this question does not apply to this product or service.</v>
      </c>
      <c r="F63" s="202" t="str">
        <f>VLOOKUP($A63,'Institution Evaluation'!$A$56:$F$346,6,0)&amp;""</f>
        <v/>
      </c>
      <c r="I63" s="36"/>
      <c r="J63" s="36"/>
    </row>
    <row r="64" spans="1:10" s="1" customFormat="1" ht="38.25" customHeight="1" x14ac:dyDescent="0.2">
      <c r="A64" s="19" t="s">
        <v>662</v>
      </c>
      <c r="B64" s="18" t="str">
        <f>VLOOKUP($A64,Questions!$A$2:$X$333,2,0)</f>
        <v>Is the application listed as an approved Payment Application Data Security Standard (PA-DSS) application?*</v>
      </c>
      <c r="C64" s="21"/>
      <c r="D64" s="321"/>
      <c r="E64" s="168" t="str">
        <f>IF($C$20="No",'Auto Responses'!$A$8,IF($C64="Yes",VLOOKUP($A64,Questions!$A$2:$X$333,17,0)&amp;"",IF($C64="No",VLOOKUP($A64,Questions!$A$2:$X$333,16,0)&amp;"",VLOOKUP($A64,Questions!$A$2:$X$333,15,0)&amp;"")))</f>
        <v>Based on the response to REQU-06 on the "START HERE" tab, this question does not apply to this product or service.</v>
      </c>
      <c r="F64" s="202" t="str">
        <f>VLOOKUP($A64,'Institution Evaluation'!$A$56:$F$346,6,0)&amp;""</f>
        <v/>
      </c>
      <c r="I64" s="36"/>
      <c r="J64" s="36"/>
    </row>
    <row r="65" spans="1:10" s="1" customFormat="1" ht="38.25" customHeight="1" x14ac:dyDescent="0.2">
      <c r="A65" s="19" t="s">
        <v>664</v>
      </c>
      <c r="B65" s="18" t="str">
        <f>VLOOKUP($A65,Questions!$A$2:$X$333,2,0)</f>
        <v>Does the system or solutions use a third party to collect, store, process, or transmit cardholder (payment/credit/debt card) data?*</v>
      </c>
      <c r="C65" s="21"/>
      <c r="D65" s="321"/>
      <c r="E65" s="168" t="str">
        <f>IF($C$20="No",'Auto Responses'!$A$8,IF($C65="Yes",VLOOKUP($A65,Questions!$A$2:$X$333,17,0)&amp;"",IF($C65="No",VLOOKUP($A65,Questions!$A$2:$X$333,16,0)&amp;"",VLOOKUP($A65,Questions!$A$2:$X$333,15,0)&amp;"")))</f>
        <v>Based on the response to REQU-06 on the "START HERE" tab, this question does not apply to this product or service.</v>
      </c>
      <c r="F65" s="202" t="str">
        <f>VLOOKUP($A65,'Institution Evaluation'!$A$56:$F$346,6,0)&amp;""</f>
        <v/>
      </c>
      <c r="I65" s="36"/>
      <c r="J65" s="36"/>
    </row>
    <row r="66" spans="1:10" s="1" customFormat="1" ht="38.25" customHeight="1" x14ac:dyDescent="0.2">
      <c r="A66" s="19" t="s">
        <v>665</v>
      </c>
      <c r="B66" s="18" t="str">
        <f>VLOOKUP($A66,Questions!$A$2:$X$333,2,0)</f>
        <v>Do your systems or solutions store, process, or transmit cardholder (payment/credit/debt card) data?</v>
      </c>
      <c r="C66" s="21"/>
      <c r="D66" s="321"/>
      <c r="E66" s="168" t="str">
        <f>IF($C$20="No",'Auto Responses'!$A$8,IF($C66="Yes",VLOOKUP($A66,Questions!$A$2:$X$333,17,0)&amp;"",IF($C66="No",VLOOKUP($A66,Questions!$A$2:$X$333,16,0)&amp;"",VLOOKUP($A66,Questions!$A$2:$X$333,15,0)&amp;"")))</f>
        <v>Based on the response to REQU-06 on the "START HERE" tab, this question does not apply to this product or service.</v>
      </c>
      <c r="F66" s="202" t="str">
        <f>VLOOKUP($A66,'Institution Evaluation'!$A$56:$F$346,6,0)&amp;""</f>
        <v/>
      </c>
      <c r="I66" s="36"/>
      <c r="J66" s="36"/>
    </row>
    <row r="67" spans="1:10" s="1" customFormat="1" ht="38.25" customHeight="1" x14ac:dyDescent="0.2">
      <c r="A67" s="19" t="s">
        <v>667</v>
      </c>
      <c r="B67" s="18" t="str">
        <f>VLOOKUP($A67,Questions!$A$2:$X$333,2,0)</f>
        <v>Are you compliant with the Payment Card Industry Data Security Standard (PCI DSS)?</v>
      </c>
      <c r="C67" s="21"/>
      <c r="D67" s="321"/>
      <c r="E67" s="168" t="str">
        <f>IF($C$20="No",'Auto Responses'!$A$8,IF($C67="Yes",VLOOKUP($A67,Questions!$A$2:$X$333,17,0)&amp;"",IF($C67="No",VLOOKUP($A67,Questions!$A$2:$X$333,16,0)&amp;"",VLOOKUP($A67,Questions!$A$2:$X$333,15,0)&amp;"")))</f>
        <v>Based on the response to REQU-06 on the "START HERE" tab, this question does not apply to this product or service.</v>
      </c>
      <c r="F67" s="202" t="str">
        <f>VLOOKUP($A67,'Institution Evaluation'!$A$56:$F$346,6,0)&amp;""</f>
        <v/>
      </c>
      <c r="I67" s="36"/>
      <c r="J67" s="36"/>
    </row>
    <row r="68" spans="1:10" s="1" customFormat="1" ht="38.25" customHeight="1" x14ac:dyDescent="0.2">
      <c r="A68" s="19" t="s">
        <v>668</v>
      </c>
      <c r="B68" s="18" t="str">
        <f>VLOOKUP($A68,Questions!$A$2:$X$333,2,0)</f>
        <v>Are you classified as a service provider?</v>
      </c>
      <c r="C68" s="21"/>
      <c r="D68" s="321"/>
      <c r="E68" s="168" t="str">
        <f>IF($C$20="No",'Auto Responses'!$A$8,IF($C68="Yes",VLOOKUP($A68,Questions!$A$2:$X$333,17,0)&amp;"",IF($C68="No",VLOOKUP($A68,Questions!$A$2:$X$333,16,0)&amp;"",VLOOKUP($A68,Questions!$A$2:$X$333,15,0)&amp;"")))</f>
        <v>Based on the response to REQU-06 on the "START HERE" tab, this question does not apply to this product or service.</v>
      </c>
      <c r="F68" s="202" t="str">
        <f>VLOOKUP($A68,'Institution Evaluation'!$A$56:$F$346,6,0)&amp;""</f>
        <v/>
      </c>
      <c r="I68" s="36"/>
      <c r="J68" s="36"/>
    </row>
    <row r="69" spans="1:10" s="1" customFormat="1" ht="38.25" customHeight="1" x14ac:dyDescent="0.2">
      <c r="A69" s="19" t="s">
        <v>670</v>
      </c>
      <c r="B69" s="18" t="str">
        <f>VLOOKUP($A69,Questions!$A$2:$X$333,2,0)</f>
        <v>Are you on the list of Visa approved service providers?</v>
      </c>
      <c r="C69" s="21"/>
      <c r="D69" s="321"/>
      <c r="E69" s="168" t="str">
        <f>IF($C$20="No",'Auto Responses'!$A$8,IF($C69="Yes",VLOOKUP($A69,Questions!$A$2:$X$333,17,0)&amp;"",IF($C69="No",VLOOKUP($A69,Questions!$A$2:$X$333,16,0)&amp;"",VLOOKUP($A69,Questions!$A$2:$X$333,15,0)&amp;"")))</f>
        <v>Based on the response to REQU-06 on the "START HERE" tab, this question does not apply to this product or service.</v>
      </c>
      <c r="F69" s="202" t="str">
        <f>VLOOKUP($A69,'Institution Evaluation'!$A$56:$F$346,6,0)&amp;""</f>
        <v/>
      </c>
      <c r="I69" s="36"/>
      <c r="J69" s="36"/>
    </row>
    <row r="70" spans="1:10" s="1" customFormat="1" ht="48" customHeight="1" x14ac:dyDescent="0.2">
      <c r="A70" s="19" t="s">
        <v>672</v>
      </c>
      <c r="B70" s="18" t="str">
        <f>VLOOKUP($A70,Questions!$A$2:$X$333,2,0)</f>
        <v>Are you classified as a merchant? If so, what level (1, 2, 3, 4)?</v>
      </c>
      <c r="C70" s="21"/>
      <c r="D70" s="321"/>
      <c r="E70" s="168" t="str">
        <f>IF($C$20="No",'Auto Responses'!$A$8,IF($C70="Yes",VLOOKUP($A70,Questions!$A$2:$X$333,17,0)&amp;"",IF($C70="No",VLOOKUP($A70,Questions!$A$2:$X$333,16,0)&amp;"",VLOOKUP($A70,Questions!$A$2:$X$333,15,0)&amp;"")))</f>
        <v>Based on the response to REQU-06 on the "START HERE" tab, this question does not apply to this product or service.</v>
      </c>
      <c r="F70" s="202" t="str">
        <f>VLOOKUP($A70,'Institution Evaluation'!$A$56:$F$346,6,0)&amp;""</f>
        <v/>
      </c>
      <c r="I70" s="36"/>
      <c r="J70" s="36"/>
    </row>
    <row r="71" spans="1:10" s="1" customFormat="1" ht="38.25" customHeight="1" x14ac:dyDescent="0.2">
      <c r="A71" s="19" t="s">
        <v>674</v>
      </c>
      <c r="B71" s="18" t="str">
        <f>VLOOKUP($A71,Questions!$A$2:$X$333,2,0)</f>
        <v>Describe the architecture employed by the system to verify and authorize credit card transactions.</v>
      </c>
      <c r="C71" s="77"/>
      <c r="D71" s="321"/>
      <c r="E71" s="168" t="str">
        <f>IF($C$20="No",'Auto Responses'!$A$8,IF($C71="Yes",VLOOKUP($A71,Questions!$A$2:$X$333,17,0)&amp;"",IF($C71="No",VLOOKUP($A71,Questions!$A$2:$X$333,16,0)&amp;"",VLOOKUP($A71,Questions!$A$2:$X$333,15,0)&amp;"")))</f>
        <v>Based on the response to REQU-06 on the "START HERE" tab, this question does not apply to this product or service.</v>
      </c>
      <c r="F71" s="202" t="str">
        <f>VLOOKUP($A71,'Institution Evaluation'!$A$56:$F$346,6,0)&amp;""</f>
        <v/>
      </c>
      <c r="I71" s="36"/>
      <c r="J71" s="36"/>
    </row>
    <row r="72" spans="1:10" s="1" customFormat="1" ht="38.25" customHeight="1" x14ac:dyDescent="0.2">
      <c r="A72" s="19" t="s">
        <v>675</v>
      </c>
      <c r="B72" s="18" t="str">
        <f>VLOOKUP($A72,Questions!$A$2:$X$333,2,0)</f>
        <v>What payment processors/gateways does the system support?</v>
      </c>
      <c r="C72" s="77"/>
      <c r="D72" s="321"/>
      <c r="E72" s="168" t="str">
        <f>IF($C$20="No",'Auto Responses'!$A$8,IF($C72="Yes",VLOOKUP($A72,Questions!$A$2:$X$333,17,0)&amp;"",IF($C72="No",VLOOKUP($A72,Questions!$A$2:$X$333,16,0)&amp;"",VLOOKUP($A72,Questions!$A$2:$X$333,15,0)&amp;"")))</f>
        <v>Based on the response to REQU-06 on the "START HERE" tab, this question does not apply to this product or service.</v>
      </c>
      <c r="F72" s="202" t="str">
        <f>VLOOKUP($A72,'Institution Evaluation'!$A$56:$F$346,6,0)&amp;""</f>
        <v/>
      </c>
      <c r="I72" s="36"/>
      <c r="J72" s="36"/>
    </row>
    <row r="73" spans="1:10" s="1" customFormat="1" ht="38.25" customHeight="1" x14ac:dyDescent="0.2">
      <c r="A73" s="19" t="s">
        <v>676</v>
      </c>
      <c r="B73" s="18" t="str">
        <f>VLOOKUP($A73,Questions!$A$2:$X$333,2,0)</f>
        <v>Can the application be installed in a PCI DSS–compliant manner?</v>
      </c>
      <c r="C73" s="21"/>
      <c r="D73" s="321"/>
      <c r="E73" s="168" t="str">
        <f>IF($C$20="No",'Auto Responses'!$A$8,IF($C73="Yes",VLOOKUP($A73,Questions!$A$2:$X$333,17,0)&amp;"",IF($C73="No",VLOOKUP($A73,Questions!$A$2:$X$333,16,0)&amp;"",VLOOKUP($A73,Questions!$A$2:$X$333,15,0)&amp;"")))</f>
        <v>Based on the response to REQU-06 on the "START HERE" tab, this question does not apply to this product or service.</v>
      </c>
      <c r="F73" s="202" t="str">
        <f>VLOOKUP($A73,'Institution Evaluation'!$A$56:$F$346,6,0)&amp;""</f>
        <v/>
      </c>
      <c r="I73" s="36"/>
      <c r="J73" s="36"/>
    </row>
    <row r="74" spans="1:10" s="1" customFormat="1" ht="71.25" customHeight="1" thickBot="1" x14ac:dyDescent="0.25">
      <c r="A74" s="19" t="s">
        <v>677</v>
      </c>
      <c r="B74" s="18" t="str">
        <f>VLOOKUP($A74,Questions!$A$2:$X$333,2,0)</f>
        <v>Include documentation describing the system's abilities to comply with the PCI DSS and any features or capabilities of the system that must be added or changed in order to operate in compliance with the standards.</v>
      </c>
      <c r="C74" s="77"/>
      <c r="D74" s="321"/>
      <c r="E74" s="168" t="str">
        <f>IF($C$20="No",'Auto Responses'!$A$8,IF($C74="Yes",VLOOKUP($A74,Questions!$A$2:$X$333,17,0)&amp;"",IF($C74="No",VLOOKUP($A74,Questions!$A$2:$X$333,16,0)&amp;"",VLOOKUP($A74,Questions!$A$2:$X$333,15,0)&amp;"")))</f>
        <v>Based on the response to REQU-06 on the "START HERE" tab, this question does not apply to this product or service.</v>
      </c>
      <c r="F74" s="202" t="str">
        <f>VLOOKUP($A74,'Institution Evaluation'!$A$56:$F$346,6,0)&amp;""</f>
        <v/>
      </c>
      <c r="G74" s="239" t="s">
        <v>1505</v>
      </c>
      <c r="I74" s="36"/>
      <c r="J74" s="36"/>
    </row>
    <row r="75" spans="1:10" s="1" customFormat="1" ht="37.35" customHeight="1" thickBot="1" x14ac:dyDescent="0.25">
      <c r="A75" s="64" t="str">
        <f>VLOOKUP(LEFT($A76,4),'Auto Responses'!$N$4:$O$38,2,0)&amp;""</f>
        <v xml:space="preserve"> On-Premises Data Solutions</v>
      </c>
      <c r="B75" s="23"/>
      <c r="C75" s="13" t="s">
        <v>1555</v>
      </c>
      <c r="D75" s="13" t="s">
        <v>72</v>
      </c>
      <c r="E75" s="32" t="s">
        <v>883</v>
      </c>
      <c r="F75" s="188" t="s">
        <v>884</v>
      </c>
      <c r="I75" s="36"/>
      <c r="J75" s="36"/>
    </row>
    <row r="76" spans="1:10" s="1" customFormat="1" ht="36" customHeight="1" x14ac:dyDescent="0.2">
      <c r="A76" s="19" t="s">
        <v>678</v>
      </c>
      <c r="B76" s="18" t="str">
        <f>VLOOKUP($A76,Questions!$A$2:$X$333,2,0)</f>
        <v>Do you support role-based access control (RBAC) for system administrators?</v>
      </c>
      <c r="C76" s="21"/>
      <c r="D76" s="321"/>
      <c r="E76" s="168" t="str">
        <f>IF($C$21="No",'Auto Responses'!$A$9,IF($C76="Yes",VLOOKUP($A76,Questions!$A$2:$X$333,17,0)&amp;"",IF($C76="No",VLOOKUP($A76,Questions!$A$2:$X$333,16,0)&amp;"",VLOOKUP($A76,Questions!$A$2:$X$333,15,0)&amp;"")))</f>
        <v>Based on the response to REQU-07 on the "START HERE" tab, this question does not apply to this product or service.</v>
      </c>
      <c r="F76" s="202" t="str">
        <f>VLOOKUP($A76,'Institution Evaluation'!$A$56:$F$346,6,0)&amp;""</f>
        <v/>
      </c>
      <c r="I76" s="36"/>
      <c r="J76" s="36"/>
    </row>
    <row r="77" spans="1:10" s="1" customFormat="1" ht="28.5" customHeight="1" x14ac:dyDescent="0.2">
      <c r="A77" s="19" t="s">
        <v>680</v>
      </c>
      <c r="B77" s="18" t="str">
        <f>VLOOKUP($A77,Questions!$A$2:$X$333,2,0)</f>
        <v>Can your employees access customer systems remotely?</v>
      </c>
      <c r="C77" s="21"/>
      <c r="D77" s="321"/>
      <c r="E77" s="168" t="str">
        <f>IF($C$21="No",'Auto Responses'!$A$9,IF($C77="Yes",VLOOKUP($A77,Questions!$A$2:$X$333,17,0)&amp;"",IF($C77="No",VLOOKUP($A77,Questions!$A$2:$X$333,16,0)&amp;"",VLOOKUP($A77,Questions!$A$2:$X$333,15,0)&amp;"")))</f>
        <v>Based on the response to REQU-07 on the "START HERE" tab, this question does not apply to this product or service.</v>
      </c>
      <c r="F77" s="202" t="str">
        <f>VLOOKUP($A77,'Institution Evaluation'!$A$56:$F$346,6,0)&amp;""</f>
        <v/>
      </c>
      <c r="I77" s="36"/>
      <c r="J77" s="36"/>
    </row>
    <row r="78" spans="1:10" s="1" customFormat="1" ht="68.25" customHeight="1" x14ac:dyDescent="0.2">
      <c r="A78" s="19" t="s">
        <v>684</v>
      </c>
      <c r="B78" s="18" t="str">
        <f>VLOOKUP($A78,Questions!$A$2:$X$333,2,0)</f>
        <v>Can you provide overall system and/or application architecture diagrams including a full description of the data communications architecture for all components of the system?</v>
      </c>
      <c r="C78" s="21"/>
      <c r="D78" s="321"/>
      <c r="E78" s="168" t="str">
        <f>IF($C$21="No",'Auto Responses'!$A$9,IF($C78="Yes",VLOOKUP($A78,Questions!$A$2:$X$333,17,0)&amp;"",IF($C78="No",VLOOKUP($A78,Questions!$A$2:$X$333,16,0)&amp;"",VLOOKUP($A78,Questions!$A$2:$X$333,15,0)&amp;"")))</f>
        <v>Based on the response to REQU-07 on the "START HERE" tab, this question does not apply to this product or service.</v>
      </c>
      <c r="F78" s="202" t="str">
        <f>VLOOKUP($A78,'Institution Evaluation'!$A$56:$F$346,6,0)&amp;""</f>
        <v/>
      </c>
      <c r="I78" s="36"/>
      <c r="J78" s="36"/>
    </row>
    <row r="79" spans="1:10" s="1" customFormat="1" ht="46.5" customHeight="1" x14ac:dyDescent="0.2">
      <c r="A79" s="19" t="s">
        <v>688</v>
      </c>
      <c r="B79" s="18" t="str">
        <f>VLOOKUP($A79,Questions!$A$2:$X$333,2,0)</f>
        <v>Do you require remote management of the system?</v>
      </c>
      <c r="C79" s="21"/>
      <c r="D79" s="321"/>
      <c r="E79" s="168" t="str">
        <f>IF($C$21="No",'Auto Responses'!$A$9,IF($C79="Yes",VLOOKUP($A79,Questions!$A$2:$X$333,17,0)&amp;"",IF($C79="No",VLOOKUP($A79,Questions!$A$2:$X$333,16,0)&amp;"",VLOOKUP($A79,Questions!$A$2:$X$333,15,0)&amp;"")))</f>
        <v>Based on the response to REQU-07 on the "START HERE" tab, this question does not apply to this product or service.</v>
      </c>
      <c r="F79" s="202" t="str">
        <f>VLOOKUP($A79,'Institution Evaluation'!$A$56:$F$346,6,0)&amp;""</f>
        <v/>
      </c>
      <c r="I79" s="36"/>
      <c r="J79" s="36"/>
    </row>
    <row r="80" spans="1:10" s="1" customFormat="1" ht="60" customHeight="1" x14ac:dyDescent="0.2">
      <c r="A80" s="19" t="s">
        <v>691</v>
      </c>
      <c r="B80" s="18" t="str">
        <f>VLOOKUP($A80,Questions!$A$2:$X$333,2,0)</f>
        <v>If you answered "yes" to OPEM-04, are your remote actions and changes logged or otherwise visible to the campus?</v>
      </c>
      <c r="C80" s="21"/>
      <c r="D80" s="321"/>
      <c r="E80" s="168" t="str">
        <f>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202" t="str">
        <f>VLOOKUP($A80,'Institution Evaluation'!$A$56:$F$346,6,0)&amp;""</f>
        <v/>
      </c>
      <c r="I80" s="36"/>
      <c r="J80" s="36"/>
    </row>
    <row r="81" spans="1:12" s="1" customFormat="1" ht="47.25" customHeight="1" x14ac:dyDescent="0.2">
      <c r="A81" s="19" t="s">
        <v>695</v>
      </c>
      <c r="B81" s="18" t="str">
        <f>VLOOKUP($A81,Questions!$A$2:$X$333,2,0)</f>
        <v>If you maintain remote access to the system, will you handle data in a FERPA-compliant manner?</v>
      </c>
      <c r="C81" s="21"/>
      <c r="D81" s="321"/>
      <c r="E81" s="168" t="str">
        <f>IF($C$21="No",'Auto Responses'!$A$9,IF($C81="Yes",VLOOKUP($A81,Questions!$A$2:$X$333,17,0)&amp;"",IF($C81="No",VLOOKUP($A81,Questions!$A$2:$X$333,16,0)&amp;"",VLOOKUP($A81,Questions!$A$2:$X$333,15,0)&amp;"")))</f>
        <v>Based on the response to REQU-07 on the "START HERE" tab, this question does not apply to this product or service.</v>
      </c>
      <c r="F81" s="202" t="str">
        <f>VLOOKUP($A81,'Institution Evaluation'!$A$56:$F$346,6,0)&amp;""</f>
        <v/>
      </c>
      <c r="I81" s="36"/>
      <c r="J81" s="36"/>
    </row>
    <row r="82" spans="1:12" s="1" customFormat="1" ht="43.5" customHeight="1" x14ac:dyDescent="0.2">
      <c r="A82" s="19" t="s">
        <v>697</v>
      </c>
      <c r="B82" s="18" t="str">
        <f>VLOOKUP($A82,Questions!$A$2:$X$333,2,0)</f>
        <v>Do you support campus status monitoring through SNMPv3 or other means?</v>
      </c>
      <c r="C82" s="21"/>
      <c r="D82" s="321"/>
      <c r="E82" s="168" t="str">
        <f>IF($C$21="No",'Auto Responses'!$A$9,IF($C82="Yes",VLOOKUP($A82,Questions!$A$2:$X$333,17,0)&amp;"",IF($C82="No",VLOOKUP($A82,Questions!$A$2:$X$333,16,0)&amp;"",VLOOKUP($A82,Questions!$A$2:$X$333,15,0)&amp;"")))</f>
        <v>Based on the response to REQU-07 on the "START HERE" tab, this question does not apply to this product or service.</v>
      </c>
      <c r="F82" s="202" t="str">
        <f>VLOOKUP($A82,'Institution Evaluation'!$A$56:$F$346,6,0)&amp;""</f>
        <v/>
      </c>
      <c r="I82" s="36"/>
      <c r="J82" s="36"/>
    </row>
    <row r="83" spans="1:12" s="1" customFormat="1" ht="42" customHeight="1" x14ac:dyDescent="0.2">
      <c r="A83" s="19" t="s">
        <v>700</v>
      </c>
      <c r="B83" s="18" t="str">
        <f>VLOOKUP($A83,Questions!$A$2:$X$333,2,0)</f>
        <v>Describe or provide a reference to any other safeguards used to monitor for malicious activity.</v>
      </c>
      <c r="C83" s="69"/>
      <c r="D83" s="321"/>
      <c r="E83" s="168" t="str">
        <f>IF($C$21="No",'Auto Responses'!$A$9,IF($C83="Yes",VLOOKUP($A83,Questions!$A$2:$X$333,17,0)&amp;"",IF($C83="No",VLOOKUP($A83,Questions!$A$2:$X$333,16,0)&amp;"",VLOOKUP($A83,Questions!$A$2:$X$333,15,0)&amp;"")))</f>
        <v>Based on the response to REQU-07 on the "START HERE" tab, this question does not apply to this product or service.</v>
      </c>
      <c r="F83" s="202" t="str">
        <f>VLOOKUP($A83,'Institution Evaluation'!$A$56:$F$346,6,0)&amp;""</f>
        <v/>
      </c>
      <c r="I83" s="36"/>
      <c r="J83" s="36"/>
    </row>
    <row r="84" spans="1:12" s="1" customFormat="1" ht="54" customHeight="1" x14ac:dyDescent="0.2">
      <c r="A84" s="19" t="s">
        <v>701</v>
      </c>
      <c r="B84" s="18" t="str">
        <f>VLOOKUP($A84,Questions!$A$2:$X$333,2,0)</f>
        <v>Describe how long your organization has conducted business in this area.</v>
      </c>
      <c r="C84" s="69"/>
      <c r="D84" s="321"/>
      <c r="E84" s="168" t="str">
        <f>IF($C$21="No",'Auto Responses'!$A$9,IF($C84="Yes",VLOOKUP($A84,Questions!$A$2:$X$333,17,0)&amp;"",IF($C84="No",VLOOKUP($A84,Questions!$A$2:$X$333,16,0)&amp;"",VLOOKUP($A84,Questions!$A$2:$X$333,15,0)&amp;"")))</f>
        <v>Based on the response to REQU-07 on the "START HERE" tab, this question does not apply to this product or service.</v>
      </c>
      <c r="F84" s="202" t="str">
        <f>VLOOKUP($A84,'Institution Evaluation'!$A$56:$F$346,6,0)&amp;""</f>
        <v/>
      </c>
      <c r="I84" s="36"/>
      <c r="J84" s="36"/>
    </row>
    <row r="85" spans="1:12" s="1" customFormat="1" ht="39.75" customHeight="1" x14ac:dyDescent="0.2">
      <c r="A85" s="19" t="s">
        <v>706</v>
      </c>
      <c r="B85" s="18" t="str">
        <f>VLOOKUP($A85,Questions!$A$2:$X$333,2,0)</f>
        <v>Do you have existing higher education customers?</v>
      </c>
      <c r="C85" s="21"/>
      <c r="D85" s="321"/>
      <c r="E85" s="168" t="str">
        <f>IF($C$21="No",'Auto Responses'!$A$9,IF($C85="Yes",VLOOKUP($A85,Questions!$A$2:$X$333,17,0)&amp;"",IF($C85="No",VLOOKUP($A85,Questions!$A$2:$X$333,16,0)&amp;"",VLOOKUP($A85,Questions!$A$2:$X$333,15,0)&amp;"")))</f>
        <v>Based on the response to REQU-07 on the "START HERE" tab, this question does not apply to this product or service.</v>
      </c>
      <c r="F85" s="202" t="str">
        <f>VLOOKUP($A85,'Institution Evaluation'!$A$56:$F$346,6,0)&amp;""</f>
        <v/>
      </c>
      <c r="G85" s="239" t="s">
        <v>1505</v>
      </c>
      <c r="I85" s="36"/>
      <c r="J85" s="36"/>
    </row>
    <row r="86" spans="1:12" s="1" customFormat="1" ht="36.75" customHeight="1" x14ac:dyDescent="0.2">
      <c r="A86" s="268" t="s">
        <v>1565</v>
      </c>
      <c r="C86" s="8"/>
      <c r="D86" s="9"/>
      <c r="E86" s="10"/>
      <c r="I86" s="36"/>
      <c r="J86" s="36"/>
    </row>
    <row r="87" spans="1:12" ht="15" hidden="1" customHeight="1" x14ac:dyDescent="0.2">
      <c r="A87" s="1"/>
      <c r="B87" s="8"/>
      <c r="C87" s="72"/>
      <c r="D87" s="10"/>
      <c r="E87" s="1"/>
      <c r="H87" s="36"/>
      <c r="I87" s="1"/>
      <c r="J87" s="1"/>
      <c r="L87"/>
    </row>
    <row r="88" spans="1:12" ht="0" hidden="1" customHeight="1" x14ac:dyDescent="0.2">
      <c r="A88" s="19" t="e">
        <f>#REF!</f>
        <v>#REF!</v>
      </c>
    </row>
    <row r="89" spans="1:12" ht="0" hidden="1" customHeight="1" x14ac:dyDescent="0.2">
      <c r="A89" s="19" t="e">
        <f>#REF!</f>
        <v>#REF!</v>
      </c>
    </row>
    <row r="90" spans="1:12" ht="0" hidden="1" customHeight="1" x14ac:dyDescent="0.2">
      <c r="A90" s="19" t="e">
        <f>#REF!</f>
        <v>#REF!</v>
      </c>
    </row>
    <row r="91" spans="1:12" ht="0" hidden="1" customHeight="1" x14ac:dyDescent="0.2">
      <c r="A91" s="19" t="e">
        <f>#REF!</f>
        <v>#REF!</v>
      </c>
    </row>
    <row r="92" spans="1:12" ht="0" hidden="1" customHeight="1" x14ac:dyDescent="0.2">
      <c r="A92" s="19" t="e">
        <f>#REF!</f>
        <v>#REF!</v>
      </c>
    </row>
    <row r="93" spans="1:12" ht="0" hidden="1" customHeight="1" x14ac:dyDescent="0.2">
      <c r="A93" s="19" t="e">
        <f>#REF!</f>
        <v>#REF!</v>
      </c>
    </row>
    <row r="94" spans="1:12" ht="0" hidden="1" customHeight="1" x14ac:dyDescent="0.2">
      <c r="A94" s="19"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C33:C54 C56:C61 C76:C79 C23:C24 C63:C70 C82</xm:sqref>
        </x14:dataValidation>
        <x14:dataValidation type="list" allowBlank="1" showInputMessage="1" showErrorMessage="1" xr:uid="{EF1A7EE7-C7A2-403F-A736-199B3CEF11D0}">
          <x14:formula1>
            <xm:f>'Auto Responses'!$J$3:$J$5</xm:f>
          </x14:formula1>
          <xm:sqref>C80 C25:C26 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10" customWidth="1"/>
    <col min="6" max="6" width="30.69921875" style="199" customWidth="1"/>
    <col min="7" max="7" width="18.09765625" style="1" customWidth="1"/>
    <col min="8" max="8" width="18.09765625" style="1" hidden="1" customWidth="1"/>
    <col min="9" max="10" width="18.09765625" style="36" hidden="1" customWidth="1"/>
    <col min="11" max="11" width="4.5" style="1" hidden="1" customWidth="1"/>
    <col min="12" max="12" width="6.59765625" style="1" hidden="1" customWidth="1"/>
    <col min="13" max="16384" width="6.59765625" hidden="1"/>
  </cols>
  <sheetData>
    <row r="1" spans="1:10" ht="0" hidden="1" customHeight="1" x14ac:dyDescent="0.2">
      <c r="A1" t="s">
        <v>1504</v>
      </c>
    </row>
    <row r="2" spans="1:10" ht="36" customHeight="1" x14ac:dyDescent="0.2">
      <c r="A2" s="169" t="s">
        <v>1432</v>
      </c>
      <c r="B2" s="169"/>
      <c r="C2" s="170"/>
      <c r="D2" s="309"/>
      <c r="E2" s="171"/>
      <c r="F2" s="198" t="str">
        <f>'Auto Responses'!$A$36</f>
        <v>Version 4.1.2</v>
      </c>
      <c r="J2" s="1"/>
    </row>
    <row r="3" spans="1:10" s="1" customFormat="1" ht="29.1" customHeight="1" x14ac:dyDescent="0.2">
      <c r="A3" s="38" t="s">
        <v>975</v>
      </c>
      <c r="B3" s="39"/>
      <c r="C3" s="67" t="str">
        <f>'START HERE'!$C$3</f>
        <v>Oct 17 2025</v>
      </c>
      <c r="D3" s="310"/>
      <c r="E3" s="37"/>
      <c r="F3" s="51"/>
      <c r="I3" s="36"/>
    </row>
    <row r="4" spans="1:10" s="1" customFormat="1" ht="36" customHeight="1" x14ac:dyDescent="0.2">
      <c r="A4" s="11" t="s">
        <v>900</v>
      </c>
      <c r="B4" s="12"/>
      <c r="C4" s="13"/>
      <c r="D4" s="14"/>
      <c r="E4" s="15"/>
      <c r="F4" s="15"/>
      <c r="I4" s="36"/>
    </row>
    <row r="5" spans="1:10"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10"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10"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10" s="1" customFormat="1" ht="19.5" customHeight="1" x14ac:dyDescent="0.2">
      <c r="A8" s="43" t="str">
        <f>HLOOKUP($A$4,'Auto Responses'!$D$2:$D$8,5,0)&amp;""</f>
        <v>4. DO NOT complete any fields in the "Evaluation" sheets or the "Analyst Notes" column.</v>
      </c>
      <c r="B8" s="16"/>
      <c r="C8" s="68"/>
      <c r="D8" s="311"/>
      <c r="E8" s="16"/>
      <c r="F8" s="263"/>
      <c r="I8" s="36"/>
    </row>
    <row r="9" spans="1:10" s="1" customFormat="1" ht="19.5" customHeight="1" x14ac:dyDescent="0.2">
      <c r="A9" s="43" t="str">
        <f>HLOOKUP($A$4,'Auto Responses'!$D$2:$D$8,6,0)&amp;""</f>
        <v>5. Return the completed file to institutions.</v>
      </c>
      <c r="B9" s="16"/>
      <c r="C9" s="68"/>
      <c r="D9" s="311"/>
      <c r="E9" s="16"/>
      <c r="F9" s="263"/>
      <c r="I9" s="36"/>
    </row>
    <row r="10" spans="1:10"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10" s="1" customFormat="1" ht="19.5" customHeight="1" x14ac:dyDescent="0.2">
      <c r="A11" s="247" t="str">
        <f>HLOOKUP($A$4,'Auto Responses'!$D$2:$D$9,8,0)&amp;""</f>
        <v>For full instructions, please visit educause.edu/HECVAT</v>
      </c>
      <c r="B11" s="16"/>
      <c r="C11" s="68"/>
      <c r="D11" s="311"/>
      <c r="E11" s="16"/>
      <c r="F11" s="264"/>
      <c r="I11" s="36"/>
    </row>
    <row r="12" spans="1:10" s="1" customFormat="1" ht="36" customHeight="1" x14ac:dyDescent="0.2">
      <c r="A12" s="64" t="str">
        <f>VLOOKUP(LEFT($A13,4),'Auto Responses'!$N$4:$O$38,2,0)&amp;""</f>
        <v xml:space="preserve"> General Information</v>
      </c>
      <c r="B12" s="12"/>
      <c r="C12" s="13" t="s">
        <v>1555</v>
      </c>
      <c r="D12" s="312"/>
      <c r="E12" s="17"/>
      <c r="F12" s="17"/>
      <c r="I12" s="36"/>
      <c r="J12" s="36"/>
    </row>
    <row r="13" spans="1:10" s="1" customFormat="1" ht="22.35" customHeight="1" x14ac:dyDescent="0.2">
      <c r="A13" s="19" t="s">
        <v>21</v>
      </c>
      <c r="B13" s="20" t="str">
        <f>VLOOKUP($A13,Questions!$A$2:$X$333,2,0)&amp;""</f>
        <v>Solution Provider Name</v>
      </c>
      <c r="C13" s="77" t="str">
        <f>VLOOKUP($A13,'START HERE'!$A$13:$C$21,3,0)&amp;""</f>
        <v>Indiana University</v>
      </c>
      <c r="D13" s="33"/>
      <c r="E13" s="33"/>
      <c r="F13" s="51"/>
      <c r="I13" s="36"/>
      <c r="J13" s="36"/>
    </row>
    <row r="14" spans="1:10" s="1" customFormat="1" ht="22.35" customHeight="1" x14ac:dyDescent="0.2">
      <c r="A14" s="19" t="s">
        <v>24</v>
      </c>
      <c r="B14" s="20" t="str">
        <f>VLOOKUP($A14,Questions!$A$2:$X$333,2,0)&amp;""</f>
        <v>Solution Name</v>
      </c>
      <c r="C14" s="77" t="str">
        <f>VLOOKUP($A14,'START HERE'!$A$13:$C$21,3,0)&amp;""</f>
        <v>NSSE Shorts</v>
      </c>
      <c r="D14" s="33"/>
      <c r="E14" s="33"/>
      <c r="F14" s="51"/>
      <c r="I14" s="36"/>
      <c r="J14" s="36"/>
    </row>
    <row r="15" spans="1:10" s="1" customFormat="1" ht="22.35" customHeight="1" x14ac:dyDescent="0.2">
      <c r="A15" s="19" t="s">
        <v>25</v>
      </c>
      <c r="B15" s="20" t="str">
        <f>VLOOKUP($A15,Questions!$A$2:$X$333,2,0)&amp;""</f>
        <v>Solution Description</v>
      </c>
      <c r="C15" s="77" t="str">
        <f>VLOOKUP($A15,'START HERE'!$A$13:$C$21,3,0)&amp;""</f>
        <v>We survey undergraduate students about their college experiences</v>
      </c>
      <c r="D15" s="33"/>
      <c r="E15" s="33"/>
      <c r="F15" s="51"/>
      <c r="I15" s="36"/>
      <c r="J15" s="36"/>
    </row>
    <row r="16" spans="1:10" s="1" customFormat="1" ht="22.35" customHeight="1" thickBot="1" x14ac:dyDescent="0.25">
      <c r="A16" s="19" t="s">
        <v>30</v>
      </c>
      <c r="B16" s="20" t="str">
        <f>VLOOKUP($A16,Questions!$A$2:$X$333,2,0)&amp;""</f>
        <v>Country of Company Headquarters</v>
      </c>
      <c r="C16" s="77" t="str">
        <f>VLOOKUP($A16,'START HERE'!$A$13:$C$21,3,0)&amp;""</f>
        <v>Bloomington, Indiana</v>
      </c>
      <c r="D16" s="33"/>
      <c r="E16" s="33"/>
      <c r="F16" s="51"/>
      <c r="I16" s="36"/>
      <c r="J16" s="36"/>
    </row>
    <row r="17" spans="1:10" s="1" customFormat="1" ht="37.35" customHeight="1" thickBot="1" x14ac:dyDescent="0.25">
      <c r="A17" s="64" t="str">
        <f>VLOOKUP(LEFT($A18,4),'Auto Responses'!$N$4:$O$38,2,0)&amp;""</f>
        <v xml:space="preserve"> Required Questions</v>
      </c>
      <c r="B17" s="23"/>
      <c r="C17" s="13" t="s">
        <v>1555</v>
      </c>
      <c r="D17" s="13" t="s">
        <v>72</v>
      </c>
      <c r="E17" s="32" t="s">
        <v>883</v>
      </c>
      <c r="F17" s="203" t="s">
        <v>884</v>
      </c>
      <c r="I17" s="36"/>
      <c r="J17" s="36"/>
    </row>
    <row r="18" spans="1:10" s="1" customFormat="1" ht="38.25" customHeight="1" thickBot="1" x14ac:dyDescent="0.25">
      <c r="A18" s="19" t="s">
        <v>58</v>
      </c>
      <c r="B18" s="18" t="str">
        <f>VLOOKUP($A18,Questions!$A$2:$X$333,2,0)</f>
        <v>Does your solution have AI features, or are there plans to implement AI features in the next 12 months?</v>
      </c>
      <c r="C18" s="73" t="str">
        <f>VLOOKUP($A18,'START HERE'!$A$23:$F$36,3,0)&amp;""</f>
        <v>No</v>
      </c>
      <c r="D18" s="313" t="str">
        <f>VLOOKUP($A18,'START HERE'!$A$23:$F$36,4,0)&amp;""</f>
        <v/>
      </c>
      <c r="E18" s="168" t="str">
        <f>IF($C18="Yes",VLOOKUP($A18,Questions!$A$2:$X$333,17,0)&amp;"",IF($C18="No",VLOOKUP($A18,Questions!$A$2:$X$333,16,0)&amp;"",VLOOKUP($A18,Questions!$A$2:$X$333,15,0)&amp;""))</f>
        <v>DO NOT complete the Artificial Intelligence (AI) worksheet</v>
      </c>
      <c r="F18" s="202" t="str">
        <f>VLOOKUP($A18,'Institution Evaluation'!$A$56:$F$346,6,0)&amp;""</f>
        <v/>
      </c>
      <c r="G18" s="239" t="s">
        <v>1505</v>
      </c>
      <c r="I18" s="36"/>
      <c r="J18" s="36"/>
    </row>
    <row r="19" spans="1:10" s="1" customFormat="1" ht="37.35" customHeight="1" thickBot="1" x14ac:dyDescent="0.25">
      <c r="A19" s="64" t="str">
        <f>VLOOKUP(LEFT($A20,4),'Auto Responses'!$N$4:$O$38,2,0)&amp;""</f>
        <v xml:space="preserve"> AI Qualifying Questions</v>
      </c>
      <c r="B19" s="23"/>
      <c r="C19" s="13" t="s">
        <v>1555</v>
      </c>
      <c r="D19" s="13" t="s">
        <v>72</v>
      </c>
      <c r="E19" s="32" t="s">
        <v>883</v>
      </c>
      <c r="F19" s="203" t="s">
        <v>884</v>
      </c>
      <c r="I19" s="36"/>
      <c r="J19" s="36"/>
    </row>
    <row r="20" spans="1:10" s="1" customFormat="1" ht="38.25" customHeight="1" x14ac:dyDescent="0.2">
      <c r="A20" s="19" t="s">
        <v>796</v>
      </c>
      <c r="B20" s="18" t="str">
        <f>VLOOKUP($A20,Questions!$A$2:$X$333,2,0)</f>
        <v>Does your solution leverage machine learning (ML) or do you plan to do so in the next 12 months?</v>
      </c>
      <c r="C20" s="21"/>
      <c r="D20" s="314"/>
      <c r="E20" s="168" t="str">
        <f>IF($C$18="No",'Auto Responses'!$A$6,IF($C20="Yes",VLOOKUP($A20,Questions!$A$2:$X$333,17,0)&amp;"",IF($C20="No",VLOOKUP($A20,Questions!$A$2:$X$333,16,0)&amp;"",VLOOKUP($A20,Questions!$A$2:$X$333,15,0)&amp;"")))</f>
        <v>Based on the response to REQU-04 on the "START HERE" tab, this question does not apply to this product or service.</v>
      </c>
      <c r="F20" s="202" t="str">
        <f>VLOOKUP($A20,'Institution Evaluation'!$A$56:$F$346,6,0)&amp;""</f>
        <v/>
      </c>
      <c r="I20" s="36"/>
      <c r="J20" s="36"/>
    </row>
    <row r="21" spans="1:10" s="1" customFormat="1" ht="45.75" customHeight="1" thickBot="1" x14ac:dyDescent="0.25">
      <c r="A21" s="19" t="s">
        <v>798</v>
      </c>
      <c r="B21" s="18" t="str">
        <f>VLOOKUP($A21,Questions!$A$2:$X$333,2,0)</f>
        <v>Does your solution leverage a large language model (LLM) or do you plan to do so in the next 12 months?</v>
      </c>
      <c r="C21" s="21"/>
      <c r="D21" s="314"/>
      <c r="E21" s="168" t="str">
        <f>IF($C$18="No",'Auto Responses'!$A$6,IF($C21="Yes",VLOOKUP($A21,Questions!$A$2:$X$333,17,0)&amp;"",IF($C21="No",VLOOKUP($A21,Questions!$A$2:$X$333,16,0)&amp;"",VLOOKUP($A21,Questions!$A$2:$X$333,15,0)&amp;"")))</f>
        <v>Based on the response to REQU-04 on the "START HERE" tab, this question does not apply to this product or service.</v>
      </c>
      <c r="F21" s="202" t="str">
        <f>VLOOKUP($A21,'Institution Evaluation'!$A$56:$F$346,6,0)&amp;""</f>
        <v/>
      </c>
      <c r="G21" s="239" t="s">
        <v>1505</v>
      </c>
      <c r="I21" s="36"/>
      <c r="J21" s="36"/>
    </row>
    <row r="22" spans="1:10" s="1" customFormat="1" ht="37.35" customHeight="1" thickBot="1" x14ac:dyDescent="0.25">
      <c r="A22" s="64" t="str">
        <f>VLOOKUP(LEFT($A23,4),'Auto Responses'!$N$4:$O$38,2,0)&amp;""</f>
        <v xml:space="preserve"> General AI Questions</v>
      </c>
      <c r="B22" s="23"/>
      <c r="C22" s="13" t="s">
        <v>1555</v>
      </c>
      <c r="D22" s="13" t="s">
        <v>72</v>
      </c>
      <c r="E22" s="32" t="s">
        <v>883</v>
      </c>
      <c r="F22" s="203" t="s">
        <v>884</v>
      </c>
      <c r="I22" s="36"/>
      <c r="J22" s="36"/>
    </row>
    <row r="23" spans="1:10" s="1" customFormat="1" ht="48" customHeight="1" x14ac:dyDescent="0.2">
      <c r="A23" s="19" t="s">
        <v>800</v>
      </c>
      <c r="B23" s="18" t="str">
        <f>VLOOKUP($A23,Questions!$A$2:$X$333,2,0)</f>
        <v>Does your solution have an AI risk model when developing or implementing your solution's AI model?*</v>
      </c>
      <c r="C23" s="21"/>
      <c r="D23" s="314"/>
      <c r="E23" s="168" t="str">
        <f>IF($C$18="No",'Auto Responses'!$A$6,IF($C23="Yes",VLOOKUP($A23,Questions!$A$2:$X$333,17,0)&amp;"",IF($C23="No",VLOOKUP($A23,Questions!$A$2:$X$333,16,0)&amp;"",VLOOKUP($A23,Questions!$A$2:$X$333,15,0)&amp;"")))</f>
        <v>Based on the response to REQU-04 on the "START HERE" tab, this question does not apply to this product or service.</v>
      </c>
      <c r="F23" s="202" t="str">
        <f>VLOOKUP($A23,'Institution Evaluation'!$A$56:$F$346,6,0)&amp;""</f>
        <v/>
      </c>
      <c r="I23" s="36"/>
      <c r="J23" s="36"/>
    </row>
    <row r="24" spans="1:10" s="1" customFormat="1" ht="38.25" customHeight="1" x14ac:dyDescent="0.2">
      <c r="A24" s="19" t="s">
        <v>802</v>
      </c>
      <c r="B24" s="18" t="str">
        <f>VLOOKUP($A24,Questions!$A$2:$X$333,2,0)</f>
        <v>Can your solution's AI features be disabled by tenant and/or user?*</v>
      </c>
      <c r="C24" s="21"/>
      <c r="D24" s="314"/>
      <c r="E24" s="168" t="str">
        <f>IF($C$18="No",'Auto Responses'!$A$6,IF($C24="Yes",VLOOKUP($A24,Questions!$A$2:$X$333,17,0)&amp;"",IF($C24="No",VLOOKUP($A24,Questions!$A$2:$X$333,16,0)&amp;"",VLOOKUP($A24,Questions!$A$2:$X$333,15,0)&amp;"")))</f>
        <v>Based on the response to REQU-04 on the "START HERE" tab, this question does not apply to this product or service.</v>
      </c>
      <c r="F24" s="202" t="str">
        <f>VLOOKUP($A24,'Institution Evaluation'!$A$56:$F$346,6,0)&amp;""</f>
        <v/>
      </c>
      <c r="I24" s="36"/>
      <c r="J24" s="36"/>
    </row>
    <row r="25" spans="1:10" s="1" customFormat="1" ht="46.5" customHeight="1" x14ac:dyDescent="0.2">
      <c r="A25" s="19" t="s">
        <v>804</v>
      </c>
      <c r="B25" s="18" t="str">
        <f>VLOOKUP($A25,Questions!$A$2:$X$333,2,0)</f>
        <v>Have your staff completed responsible AI training?*</v>
      </c>
      <c r="C25" s="21"/>
      <c r="D25" s="314"/>
      <c r="E25" s="168" t="str">
        <f>IF($C$18="No",'Auto Responses'!$A$6,IF($C25="Yes",VLOOKUP($A25,Questions!$A$2:$X$333,17,0)&amp;"",IF($C25="No",VLOOKUP($A25,Questions!$A$2:$X$333,16,0)&amp;"",VLOOKUP($A25,Questions!$A$2:$X$333,15,0)&amp;"")))</f>
        <v>Based on the response to REQU-04 on the "START HERE" tab, this question does not apply to this product or service.</v>
      </c>
      <c r="F25" s="202" t="str">
        <f>VLOOKUP($A25,'Institution Evaluation'!$A$56:$F$346,6,0)&amp;""</f>
        <v/>
      </c>
      <c r="I25" s="36"/>
      <c r="J25" s="36"/>
    </row>
    <row r="26" spans="1:10" s="1" customFormat="1" ht="69" customHeight="1" x14ac:dyDescent="0.2">
      <c r="A26" s="19" t="s">
        <v>805</v>
      </c>
      <c r="B26" s="18" t="str">
        <f>VLOOKUP($A26,Questions!$A$2:$X$333,2,0)</f>
        <v>Please describe the capabilities of your solution's AI features.</v>
      </c>
      <c r="C26" s="78"/>
      <c r="D26" s="314"/>
      <c r="E26" s="168" t="str">
        <f>IF($C$18="No",'Auto Responses'!$A$6,IF($C26="Yes",VLOOKUP($A26,Questions!$A$2:$X$333,17,0)&amp;"",IF($C26="No",VLOOKUP($A26,Questions!$A$2:$X$333,16,0)&amp;"",VLOOKUP($A26,Questions!$A$2:$X$333,15,0)&amp;"")))</f>
        <v>Based on the response to REQU-04 on the "START HERE" tab, this question does not apply to this product or service.</v>
      </c>
      <c r="F26" s="202" t="str">
        <f>VLOOKUP($A26,'Institution Evaluation'!$A$56:$F$346,6,0)&amp;""</f>
        <v/>
      </c>
      <c r="I26" s="36"/>
      <c r="J26" s="36"/>
    </row>
    <row r="27" spans="1:10" s="1" customFormat="1" ht="74.25" customHeight="1" thickBot="1" x14ac:dyDescent="0.25">
      <c r="A27" s="19" t="s">
        <v>807</v>
      </c>
      <c r="B27" s="18" t="str">
        <f>VLOOKUP($A27,Questions!$A$2:$X$333,2,0)</f>
        <v>Does your solution support business rules to protect sensitive data from being ingested by the AI model?</v>
      </c>
      <c r="C27" s="21"/>
      <c r="D27" s="314"/>
      <c r="E27" s="168" t="str">
        <f>IF($C$18="No",'Auto Responses'!$A$6,IF($C27="Yes",VLOOKUP($A27,Questions!$A$2:$X$333,17,0)&amp;"",IF($C27="No",VLOOKUP($A27,Questions!$A$2:$X$333,16,0)&amp;"",VLOOKUP($A27,Questions!$A$2:$X$333,15,0)&amp;"")))</f>
        <v>Based on the response to REQU-04 on the "START HERE" tab, this question does not apply to this product or service.</v>
      </c>
      <c r="F27" s="202" t="str">
        <f>VLOOKUP($A27,'Institution Evaluation'!$A$56:$F$346,6,0)&amp;""</f>
        <v/>
      </c>
      <c r="G27" s="239" t="s">
        <v>1505</v>
      </c>
      <c r="I27" s="36"/>
      <c r="J27" s="36"/>
    </row>
    <row r="28" spans="1:10" s="1" customFormat="1" ht="37.35" customHeight="1" thickBot="1" x14ac:dyDescent="0.25">
      <c r="A28" s="64" t="str">
        <f>VLOOKUP(LEFT($A29,4),'Auto Responses'!$N$4:$O$38,2,0)&amp;""</f>
        <v xml:space="preserve"> AI Policy</v>
      </c>
      <c r="B28" s="23"/>
      <c r="C28" s="13" t="s">
        <v>1555</v>
      </c>
      <c r="D28" s="13" t="s">
        <v>72</v>
      </c>
      <c r="E28" s="32" t="s">
        <v>883</v>
      </c>
      <c r="F28" s="203" t="s">
        <v>884</v>
      </c>
      <c r="I28" s="36"/>
      <c r="J28" s="36"/>
    </row>
    <row r="29" spans="1:10" s="1" customFormat="1" ht="69" customHeight="1" x14ac:dyDescent="0.2">
      <c r="A29" s="19" t="s">
        <v>809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14"/>
      <c r="E29" s="168" t="str">
        <f>IF($C$18="No",'Auto Responses'!$A$6,IF($C29="Yes",VLOOKUP($A29,Questions!$A$2:$X$333,17,0)&amp;"",IF($C29="No",VLOOKUP($A29,Questions!$A$2:$X$333,16,0)&amp;"",VLOOKUP($A29,Questions!$A$2:$X$333,15,0)&amp;"")))</f>
        <v>Based on the response to REQU-04 on the "START HERE" tab, this question does not apply to this product or service.</v>
      </c>
      <c r="F29" s="202" t="str">
        <f>VLOOKUP($A29,'Institution Evaluation'!$A$56:$F$346,6,0)&amp;""</f>
        <v/>
      </c>
      <c r="I29" s="36"/>
      <c r="J29" s="36"/>
    </row>
    <row r="30" spans="1:10" s="1" customFormat="1" ht="61.5" customHeight="1" x14ac:dyDescent="0.2">
      <c r="A30" s="19" t="s">
        <v>810</v>
      </c>
      <c r="B30" s="18" t="str">
        <f>VLOOKUP($A30,Questions!$A$2:$X$333,2,0)</f>
        <v>Have you identified and measured AI risks?*</v>
      </c>
      <c r="C30" s="21"/>
      <c r="D30" s="314"/>
      <c r="E30" s="168" t="str">
        <f>IF($C$18="No",'Auto Responses'!$A$6,IF($C30="Yes",VLOOKUP($A30,Questions!$A$2:$X$333,17,0)&amp;"",IF($C30="No",VLOOKUP($A30,Questions!$A$2:$X$333,16,0)&amp;"",VLOOKUP($A30,Questions!$A$2:$X$333,15,0)&amp;"")))</f>
        <v>Based on the response to REQU-04 on the "START HERE" tab, this question does not apply to this product or service.</v>
      </c>
      <c r="F30" s="202" t="str">
        <f>VLOOKUP($A30,'Institution Evaluation'!$A$56:$F$346,6,0)&amp;""</f>
        <v/>
      </c>
      <c r="I30" s="36"/>
      <c r="J30" s="36"/>
    </row>
    <row r="31" spans="1:10" s="1" customFormat="1" ht="111" customHeight="1" x14ac:dyDescent="0.2">
      <c r="A31" s="19" t="s">
        <v>811</v>
      </c>
      <c r="B31" s="18" t="str">
        <f>VLOOKUP($A31,Questions!$A$2:$X$333,2,0)</f>
        <v>In the event of an incident, can your solution's AI features be disabled in a timely manner?*</v>
      </c>
      <c r="C31" s="21"/>
      <c r="D31" s="314"/>
      <c r="E31" s="168" t="str">
        <f>IF($C$18="No",'Auto Responses'!$A$6,IF($C31="Yes",VLOOKUP($A31,Questions!$A$2:$X$333,17,0)&amp;"",IF($C31="No",VLOOKUP($A31,Questions!$A$2:$X$333,16,0)&amp;"",VLOOKUP($A31,Questions!$A$2:$X$333,15,0)&amp;"")))</f>
        <v>Based on the response to REQU-04 on the "START HERE" tab, this question does not apply to this product or service.</v>
      </c>
      <c r="F31" s="202" t="str">
        <f>VLOOKUP($A31,'Institution Evaluation'!$A$56:$F$346,6,0)&amp;""</f>
        <v/>
      </c>
      <c r="I31" s="36"/>
      <c r="J31" s="36"/>
    </row>
    <row r="32" spans="1:10" s="1" customFormat="1" ht="99.75" customHeight="1" x14ac:dyDescent="0.2">
      <c r="A32" s="19" t="s">
        <v>812</v>
      </c>
      <c r="B32" s="18" t="str">
        <f>VLOOKUP($A32,Questions!$A$2:$X$333,2,0)</f>
        <v>If disabled because of an incident, can your solution's AI features be re-enabled in a timely manner?*</v>
      </c>
      <c r="C32" s="21"/>
      <c r="D32" s="314"/>
      <c r="E32" s="168" t="str">
        <f>IF($C$18="No",'Auto Responses'!$A$6,IF($C$31="No",'Auto Responses'!$A$27,IF($C32="Yes",VLOOKUP($A32,Questions!$A$2:$X$333,17,0)&amp;"",IF($C32="No",VLOOKUP($A32,Questions!$A$2:$X$333,16,0)&amp;"",IF($C32="N/A",VLOOKUP($A32,Questions!$A$2:$X$333,18,0)&amp;"",VLOOKUP($A32,Questions!$A$2:$X$333,15,0)&amp;"")))))</f>
        <v>Based on the response to REQU-04 on the "START HERE" tab, this question does not apply to this product or service.</v>
      </c>
      <c r="F32" s="202" t="str">
        <f>VLOOKUP($A32,'Institution Evaluation'!$A$56:$F$346,6,0)&amp;""</f>
        <v/>
      </c>
      <c r="I32" s="36"/>
      <c r="J32" s="36"/>
    </row>
    <row r="33" spans="1:10" s="1" customFormat="1" ht="105" customHeight="1" thickBot="1" x14ac:dyDescent="0.25">
      <c r="A33" s="19" t="s">
        <v>813</v>
      </c>
      <c r="B33" s="18" t="str">
        <f>VLOOKUP($A33,Questions!$A$2:$X$333,2,0)</f>
        <v>Do you have documented technical and procedural processes to address potential negative impacts of AI as described by the AI Risk Management Framework (RMF)?</v>
      </c>
      <c r="C33" s="21"/>
      <c r="D33" s="314"/>
      <c r="E33" s="168" t="str">
        <f>IF($C$18="No",'Auto Responses'!$A$6,IF($C33="Yes",VLOOKUP($A33,Questions!$A$2:$X$333,17,0)&amp;"",IF($C33="No",VLOOKUP($A33,Questions!$A$2:$X$333,16,0)&amp;"",VLOOKUP($A33,Questions!$A$2:$X$333,15,0)&amp;"")))</f>
        <v>Based on the response to REQU-04 on the "START HERE" tab, this question does not apply to this product or service.</v>
      </c>
      <c r="F33" s="202" t="str">
        <f>VLOOKUP($A33,'Institution Evaluation'!$A$56:$F$346,6,0)&amp;""</f>
        <v/>
      </c>
      <c r="G33" s="239" t="s">
        <v>1505</v>
      </c>
      <c r="I33" s="36"/>
      <c r="J33" s="36"/>
    </row>
    <row r="34" spans="1:10" s="1" customFormat="1" ht="37.35" customHeight="1" thickBot="1" x14ac:dyDescent="0.25">
      <c r="A34" s="64" t="str">
        <f>VLOOKUP(LEFT($A35,4),'Auto Responses'!$N$4:$O$38,2,0)&amp;""</f>
        <v xml:space="preserve"> AI Data Security</v>
      </c>
      <c r="B34" s="23"/>
      <c r="C34" s="13" t="s">
        <v>1555</v>
      </c>
      <c r="D34" s="13" t="s">
        <v>72</v>
      </c>
      <c r="E34" s="32" t="s">
        <v>883</v>
      </c>
      <c r="F34" s="203" t="s">
        <v>884</v>
      </c>
      <c r="I34" s="36"/>
      <c r="J34" s="36"/>
    </row>
    <row r="35" spans="1:10" s="1" customFormat="1" ht="53.25" customHeight="1" x14ac:dyDescent="0.2">
      <c r="A35" s="19" t="s">
        <v>814</v>
      </c>
      <c r="B35" s="18" t="str">
        <f>VLOOKUP($A35,Questions!$A$2:$X$333,2,0)</f>
        <v>If sensitive data is introduced to your solution's AI model, can the data be removed from the AI model by request?*</v>
      </c>
      <c r="C35" s="21"/>
      <c r="D35" s="314"/>
      <c r="E35" s="168" t="str">
        <f>IF($C$18="No",'Auto Responses'!$A$6,IF($C35="Yes",VLOOKUP($A35,Questions!$A$2:$X$333,17,0)&amp;"",IF($C35="No",VLOOKUP($A35,Questions!$A$2:$X$333,16,0)&amp;"",VLOOKUP($A35,Questions!$A$2:$X$333,15,0)&amp;"")))</f>
        <v>Based on the response to REQU-04 on the "START HERE" tab, this question does not apply to this product or service.</v>
      </c>
      <c r="F35" s="202" t="str">
        <f>VLOOKUP($A35,'Institution Evaluation'!$A$56:$F$346,6,0)&amp;""</f>
        <v/>
      </c>
      <c r="I35" s="36"/>
      <c r="J35" s="36"/>
    </row>
    <row r="36" spans="1:10" s="1" customFormat="1" ht="54" customHeight="1" x14ac:dyDescent="0.2">
      <c r="A36" s="19" t="s">
        <v>815</v>
      </c>
      <c r="B36" s="18" t="str">
        <f>VLOOKUP($A36,Questions!$A$2:$X$333,2,0)</f>
        <v>Is user input data used to influence your solution's AI model?*</v>
      </c>
      <c r="C36" s="21"/>
      <c r="D36" s="314"/>
      <c r="E36" s="168" t="str">
        <f>IF($C$18="No",'Auto Responses'!$A$6,IF($C36="Yes",VLOOKUP($A36,Questions!$A$2:$X$333,17,0)&amp;"",IF($C36="No",VLOOKUP($A36,Questions!$A$2:$X$333,16,0)&amp;"",VLOOKUP($A36,Questions!$A$2:$X$333,15,0)&amp;"")))</f>
        <v>Based on the response to REQU-04 on the "START HERE" tab, this question does not apply to this product or service.</v>
      </c>
      <c r="F36" s="202" t="str">
        <f>VLOOKUP($A36,'Institution Evaluation'!$A$56:$F$346,6,0)&amp;""</f>
        <v/>
      </c>
      <c r="I36" s="36"/>
      <c r="J36" s="36"/>
    </row>
    <row r="37" spans="1:10" s="1" customFormat="1" ht="60" customHeight="1" x14ac:dyDescent="0.2">
      <c r="A37" s="19" t="s">
        <v>816</v>
      </c>
      <c r="B37" s="18" t="str">
        <f>VLOOKUP($A37,Questions!$A$2:$X$333,2,0)</f>
        <v>Do you provide logging for your solution's AI feature(s) that includes user, date, and action taken?*</v>
      </c>
      <c r="C37" s="21"/>
      <c r="D37" s="314"/>
      <c r="E37" s="168" t="str">
        <f>IF($C$18="No",'Auto Responses'!$A$6,IF($C37="Yes",VLOOKUP($A37,Questions!$A$2:$X$333,17,0)&amp;"",IF($C37="No",VLOOKUP($A37,Questions!$A$2:$X$333,16,0)&amp;"",VLOOKUP($A37,Questions!$A$2:$X$333,15,0)&amp;"")))</f>
        <v>Based on the response to REQU-04 on the "START HERE" tab, this question does not apply to this product or service.</v>
      </c>
      <c r="F37" s="202" t="str">
        <f>VLOOKUP($A37,'Institution Evaluation'!$A$56:$F$346,6,0)&amp;""</f>
        <v/>
      </c>
      <c r="I37" s="36"/>
      <c r="J37" s="36"/>
    </row>
    <row r="38" spans="1:10" s="1" customFormat="1" ht="60" customHeight="1" x14ac:dyDescent="0.2">
      <c r="A38" s="19" t="s">
        <v>818</v>
      </c>
      <c r="B38" s="18" t="str">
        <f>VLOOKUP($A38,Questions!$A$2:$X$333,2,0)</f>
        <v>Please describe how you validate user inputs.</v>
      </c>
      <c r="C38" s="78"/>
      <c r="D38" s="314"/>
      <c r="E38" s="168" t="str">
        <f>IF($C$18="No",'Auto Responses'!$A$6,IF($C38="Yes",VLOOKUP($A38,Questions!$A$2:$X$333,17,0)&amp;"",IF($C38="No",VLOOKUP($A38,Questions!$A$2:$X$333,16,0)&amp;"",VLOOKUP($A38,Questions!$A$2:$X$333,15,0)&amp;"")))</f>
        <v>Based on the response to REQU-04 on the "START HERE" tab, this question does not apply to this product or service.</v>
      </c>
      <c r="F38" s="202" t="str">
        <f>VLOOKUP($A38,'Institution Evaluation'!$A$56:$F$346,6,0)&amp;""</f>
        <v/>
      </c>
      <c r="I38" s="36"/>
      <c r="J38" s="36"/>
    </row>
    <row r="39" spans="1:10" s="1" customFormat="1" ht="49.5" customHeight="1" thickBot="1" x14ac:dyDescent="0.25">
      <c r="A39" s="19" t="s">
        <v>819</v>
      </c>
      <c r="B39" s="18" t="str">
        <f>VLOOKUP($A39,Questions!$A$2:$X$333,2,0)</f>
        <v>Do you plan for and mitigate supply-chain risk related to your AI features?</v>
      </c>
      <c r="C39" s="21"/>
      <c r="D39" s="314"/>
      <c r="E39" s="168" t="str">
        <f>IF($C$18="No",'Auto Responses'!$A$6,IF($C39="Yes",VLOOKUP($A39,Questions!$A$2:$X$333,17,0)&amp;"",IF($C39="No",VLOOKUP($A39,Questions!$A$2:$X$333,16,0)&amp;"",VLOOKUP($A39,Questions!$A$2:$X$333,15,0)&amp;"")))</f>
        <v>Based on the response to REQU-04 on the "START HERE" tab, this question does not apply to this product or service.</v>
      </c>
      <c r="F39" s="202" t="str">
        <f>VLOOKUP($A39,'Institution Evaluation'!$A$56:$F$346,6,0)&amp;""</f>
        <v/>
      </c>
      <c r="G39" s="239" t="s">
        <v>1505</v>
      </c>
      <c r="I39" s="36"/>
      <c r="J39" s="36"/>
    </row>
    <row r="40" spans="1:10" s="1" customFormat="1" ht="37.35" customHeight="1" thickBot="1" x14ac:dyDescent="0.25">
      <c r="A40" s="64" t="str">
        <f>VLOOKUP(LEFT($A41,4),'Auto Responses'!$N$4:$O$38,2,0)&amp;""</f>
        <v xml:space="preserve"> AI Machine Learning</v>
      </c>
      <c r="B40" s="23"/>
      <c r="C40" s="13" t="s">
        <v>1555</v>
      </c>
      <c r="D40" s="13" t="s">
        <v>72</v>
      </c>
      <c r="E40" s="32" t="s">
        <v>883</v>
      </c>
      <c r="F40" s="203" t="s">
        <v>884</v>
      </c>
      <c r="I40" s="36"/>
      <c r="J40" s="36"/>
    </row>
    <row r="41" spans="1:10" s="1" customFormat="1" ht="97.5" customHeight="1" x14ac:dyDescent="0.2">
      <c r="A41" s="19" t="s">
        <v>821</v>
      </c>
      <c r="B41" s="18" t="str">
        <f>VLOOKUP($A41,Questions!$A$2:$X$333,2,0)</f>
        <v>Do you separate ML training data from your ML solution data?*</v>
      </c>
      <c r="C41" s="21"/>
      <c r="D41" s="314"/>
      <c r="E41" s="168" t="str">
        <f>IF($C$18="No",'Auto Responses'!$A$6,IF($C$20="No",'Auto Responses'!$A$10,IF($C41="Yes",VLOOKUP($A41,Questions!$A$2:$X$333,17,0)&amp;"",IF($C41="No",VLOOKUP($A41,Questions!$A$2:$X$333,16,0)&amp;"",VLOOKUP($A41,Questions!$A$2:$X$333,15,0)&amp;""))))</f>
        <v>Based on the response to REQU-04 on the "START HERE" tab, this question does not apply to this product or service.</v>
      </c>
      <c r="F41" s="202" t="str">
        <f>VLOOKUP($A41,'Institution Evaluation'!$A$56:$F$346,6,0)&amp;""</f>
        <v/>
      </c>
      <c r="I41" s="36"/>
      <c r="J41" s="36"/>
    </row>
    <row r="42" spans="1:10" s="1" customFormat="1" ht="74.25" customHeight="1" x14ac:dyDescent="0.2">
      <c r="A42" s="19" t="s">
        <v>823</v>
      </c>
      <c r="B42" s="18" t="str">
        <f>VLOOKUP($A42,Questions!$A$2:$X$333,2,0)</f>
        <v>Do you authenticate and verify your ML model's feedback?*</v>
      </c>
      <c r="C42" s="21"/>
      <c r="D42" s="314"/>
      <c r="E42" s="168" t="str">
        <f>IF($C$18="No",'Auto Responses'!$A$6,IF($C$20="No",'Auto Responses'!$A$10,IF($C42="Yes",VLOOKUP($A42,Questions!$A$2:$X$333,17,0)&amp;"",IF($C42="No",VLOOKUP($A42,Questions!$A$2:$X$333,16,0)&amp;"",VLOOKUP($A42,Questions!$A$2:$X$333,15,0)&amp;""))))</f>
        <v>Based on the response to REQU-04 on the "START HERE" tab, this question does not apply to this product or service.</v>
      </c>
      <c r="F42" s="202" t="str">
        <f>VLOOKUP($A42,'Institution Evaluation'!$A$56:$F$346,6,0)&amp;""</f>
        <v/>
      </c>
      <c r="I42" s="36"/>
      <c r="J42" s="36"/>
    </row>
    <row r="43" spans="1:10" s="1" customFormat="1" ht="110.25" customHeight="1" x14ac:dyDescent="0.2">
      <c r="A43" s="19" t="s">
        <v>825</v>
      </c>
      <c r="B43" s="18" t="str">
        <f>VLOOKUP($A43,Questions!$A$2:$X$333,2,0)</f>
        <v>Is your ML training data vetted, validated, and verified before training the solution's AI model?</v>
      </c>
      <c r="C43" s="21"/>
      <c r="D43" s="314"/>
      <c r="E43" s="168" t="str">
        <f>IF($C$18="No",'Auto Responses'!$A$6,IF($C$20="No",'Auto Responses'!$A$10,IF($C43="Yes",VLOOKUP($A43,Questions!$A$2:$X$333,17,0)&amp;"",IF($C43="No",VLOOKUP($A43,Questions!$A$2:$X$333,16,0)&amp;"",VLOOKUP($A43,Questions!$A$2:$X$333,15,0)&amp;""))))</f>
        <v>Based on the response to REQU-04 on the "START HERE" tab, this question does not apply to this product or service.</v>
      </c>
      <c r="F43" s="202" t="str">
        <f>VLOOKUP($A43,'Institution Evaluation'!$A$56:$F$346,6,0)&amp;""</f>
        <v/>
      </c>
      <c r="I43" s="36"/>
      <c r="J43" s="36"/>
    </row>
    <row r="44" spans="1:10" s="1" customFormat="1" ht="38.25" customHeight="1" x14ac:dyDescent="0.2">
      <c r="A44" s="19" t="s">
        <v>828</v>
      </c>
      <c r="B44" s="18" t="str">
        <f>VLOOKUP($A44,Questions!$A$2:$X$333,2,0)</f>
        <v>Is your ML training data monitored and audited?</v>
      </c>
      <c r="C44" s="21"/>
      <c r="D44" s="314"/>
      <c r="E44" s="168" t="str">
        <f>IF($C$18="No",'Auto Responses'!$A$6,IF($C$20="No",'Auto Responses'!$A$10,IF($C44="Yes",VLOOKUP($A44,Questions!$A$2:$X$333,17,0)&amp;"",IF($C44="No",VLOOKUP($A44,Questions!$A$2:$X$333,16,0)&amp;"",VLOOKUP($A44,Questions!$A$2:$X$333,15,0)&amp;""))))</f>
        <v>Based on the response to REQU-04 on the "START HERE" tab, this question does not apply to this product or service.</v>
      </c>
      <c r="F44" s="202" t="str">
        <f>VLOOKUP($A44,'Institution Evaluation'!$A$56:$F$346,6,0)&amp;""</f>
        <v/>
      </c>
      <c r="I44" s="36"/>
      <c r="J44" s="36"/>
    </row>
    <row r="45" spans="1:10" s="1" customFormat="1" ht="63" customHeight="1" x14ac:dyDescent="0.2">
      <c r="A45" s="19" t="s">
        <v>831</v>
      </c>
      <c r="B45" s="18" t="str">
        <f>VLOOKUP($A45,Questions!$A$2:$X$333,2,0)</f>
        <v>Have you limited access to your ML training data to only staff with an explicit business need?</v>
      </c>
      <c r="C45" s="21"/>
      <c r="D45" s="314"/>
      <c r="E45" s="168" t="str">
        <f>IF($C$18="No",'Auto Responses'!$A$6,IF($C$20="No",'Auto Responses'!$A$10,IF($C45="Yes",VLOOKUP($A45,Questions!$A$2:$X$333,17,0)&amp;"",IF($C45="No",VLOOKUP($A45,Questions!$A$2:$X$333,16,0)&amp;"",VLOOKUP($A45,Questions!$A$2:$X$333,15,0)&amp;""))))</f>
        <v>Based on the response to REQU-04 on the "START HERE" tab, this question does not apply to this product or service.</v>
      </c>
      <c r="F45" s="202" t="str">
        <f>VLOOKUP($A45,'Institution Evaluation'!$A$56:$F$346,6,0)&amp;""</f>
        <v/>
      </c>
      <c r="I45" s="36"/>
      <c r="J45" s="36"/>
    </row>
    <row r="46" spans="1:10" s="1" customFormat="1" ht="101.25" customHeight="1" x14ac:dyDescent="0.2">
      <c r="A46" s="19" t="s">
        <v>833</v>
      </c>
      <c r="B46" s="18" t="str">
        <f>VLOOKUP($A46,Questions!$A$2:$X$333,2,0)</f>
        <v>Have you implemented adversarial training or other model defense mechanisms to protect your ML-related features?</v>
      </c>
      <c r="C46" s="21"/>
      <c r="D46" s="314"/>
      <c r="E46" s="168" t="str">
        <f>IF($C$18="No",'Auto Responses'!$A$6,IF($C$20="No",'Auto Responses'!$A$10,IF($C46="Yes",VLOOKUP($A46,Questions!$A$2:$X$333,17,0)&amp;"",IF($C46="No",VLOOKUP($A46,Questions!$A$2:$X$333,16,0)&amp;"",VLOOKUP($A46,Questions!$A$2:$X$333,15,0)&amp;""))))</f>
        <v>Based on the response to REQU-04 on the "START HERE" tab, this question does not apply to this product or service.</v>
      </c>
      <c r="F46" s="202" t="str">
        <f>VLOOKUP($A46,'Institution Evaluation'!$A$56:$F$346,6,0)&amp;""</f>
        <v/>
      </c>
      <c r="I46" s="36"/>
      <c r="J46" s="36"/>
    </row>
    <row r="47" spans="1:10" s="1" customFormat="1" ht="102.75" customHeight="1" x14ac:dyDescent="0.2">
      <c r="A47" s="19" t="s">
        <v>835</v>
      </c>
      <c r="B47" s="18" t="str">
        <f>VLOOKUP($A47,Questions!$A$2:$X$333,2,0)</f>
        <v>Do you make your ML model transparent through documentation and log inputs and outputs?</v>
      </c>
      <c r="C47" s="21"/>
      <c r="D47" s="314"/>
      <c r="E47" s="168" t="str">
        <f>IF($C$18="No",'Auto Responses'!$A$6,IF($C$20="No",'Auto Responses'!$A$10,IF($C47="Yes",VLOOKUP($A47,Questions!$A$2:$X$333,17,0)&amp;"",IF($C47="No",VLOOKUP($A47,Questions!$A$2:$X$333,16,0)&amp;"",VLOOKUP($A47,Questions!$A$2:$X$333,15,0)&amp;""))))</f>
        <v>Based on the response to REQU-04 on the "START HERE" tab, this question does not apply to this product or service.</v>
      </c>
      <c r="F47" s="202" t="str">
        <f>VLOOKUP($A47,'Institution Evaluation'!$A$56:$F$346,6,0)&amp;""</f>
        <v/>
      </c>
      <c r="I47" s="36"/>
      <c r="J47" s="36"/>
    </row>
    <row r="48" spans="1:10" s="1" customFormat="1" ht="67.5" customHeight="1" thickBot="1" x14ac:dyDescent="0.25">
      <c r="A48" s="19" t="s">
        <v>838</v>
      </c>
      <c r="B48" s="18" t="str">
        <f>VLOOKUP($A48,Questions!$A$2:$X$333,2,0)</f>
        <v>Do you watermark your ML training data?</v>
      </c>
      <c r="C48" s="21"/>
      <c r="D48" s="314"/>
      <c r="E48" s="168" t="str">
        <f>IF($C$18="No",'Auto Responses'!$A$6,IF($C$20="No",'Auto Responses'!$A$10,IF($C48="Yes",VLOOKUP($A48,Questions!$A$2:$X$333,17,0)&amp;"",IF($C48="No",VLOOKUP($A48,Questions!$A$2:$X$333,16,0)&amp;"",VLOOKUP($A48,Questions!$A$2:$X$333,15,0)&amp;""))))</f>
        <v>Based on the response to REQU-04 on the "START HERE" tab, this question does not apply to this product or service.</v>
      </c>
      <c r="F48" s="202" t="str">
        <f>VLOOKUP($A48,'Institution Evaluation'!$A$56:$F$346,6,0)&amp;""</f>
        <v/>
      </c>
      <c r="G48" s="239" t="s">
        <v>1505</v>
      </c>
      <c r="I48" s="36"/>
      <c r="J48" s="36"/>
    </row>
    <row r="49" spans="1:12" s="1" customFormat="1" ht="37.35" customHeight="1" thickBot="1" x14ac:dyDescent="0.25">
      <c r="A49" s="64" t="str">
        <f>VLOOKUP(LEFT($A50,4),'Auto Responses'!$N$4:$O$38,2,0)&amp;""</f>
        <v xml:space="preserve"> AI Large Language Model (LLM)</v>
      </c>
      <c r="B49" s="23"/>
      <c r="C49" s="13" t="s">
        <v>1555</v>
      </c>
      <c r="D49" s="13" t="s">
        <v>72</v>
      </c>
      <c r="E49" s="32" t="s">
        <v>883</v>
      </c>
      <c r="F49" s="203" t="s">
        <v>884</v>
      </c>
      <c r="I49" s="36"/>
      <c r="J49" s="36"/>
    </row>
    <row r="50" spans="1:12" s="1" customFormat="1" ht="60" customHeight="1" x14ac:dyDescent="0.2">
      <c r="A50" s="19" t="s">
        <v>840</v>
      </c>
      <c r="B50" s="18" t="str">
        <f>VLOOKUP($A50,Questions!$A$2:$X$333,2,0)</f>
        <v>Do you limit your solution's LLM privileges by default?*</v>
      </c>
      <c r="C50" s="21"/>
      <c r="D50" s="314"/>
      <c r="E50" s="168" t="str">
        <f>IF($C$18="No",'Auto Responses'!$A$6,IF($C$21="No",'Auto Responses'!$A$11,IF($C50="Yes",VLOOKUP($A50,Questions!$A$2:$X$333,17,0)&amp;"",IF($C50="No",VLOOKUP($A50,Questions!$A$2:$X$333,16,0)&amp;"",VLOOKUP($A50,Questions!$A$2:$X$333,15,0)&amp;""))))</f>
        <v>Based on the response to REQU-04 on the "START HERE" tab, this question does not apply to this product or service.</v>
      </c>
      <c r="F50" s="202" t="str">
        <f>VLOOKUP($A50,'Institution Evaluation'!$A$56:$F$346,6,0)&amp;""</f>
        <v/>
      </c>
      <c r="I50" s="36"/>
      <c r="J50" s="36"/>
    </row>
    <row r="51" spans="1:12" s="1" customFormat="1" ht="102.75" customHeight="1" x14ac:dyDescent="0.2">
      <c r="A51" s="19" t="s">
        <v>841</v>
      </c>
      <c r="B51" s="18" t="str">
        <f>VLOOKUP($A51,Questions!$A$2:$X$333,2,0)</f>
        <v>Is your LLM training data vetted, validated, and verified before training the solution's AI model?*</v>
      </c>
      <c r="C51" s="21"/>
      <c r="D51" s="314"/>
      <c r="E51" s="168" t="str">
        <f>IF($C$18="No",'Auto Responses'!$A$6,IF($C$21="No",'Auto Responses'!$A$11,IF($C51="Yes",VLOOKUP($A51,Questions!$A$2:$X$333,17,0)&amp;"",IF($C51="No",VLOOKUP($A51,Questions!$A$2:$X$333,16,0)&amp;"",VLOOKUP($A51,Questions!$A$2:$X$333,15,0)&amp;""))))</f>
        <v>Based on the response to REQU-04 on the "START HERE" tab, this question does not apply to this product or service.</v>
      </c>
      <c r="F51" s="202" t="str">
        <f>VLOOKUP($A51,'Institution Evaluation'!$A$56:$F$346,6,0)&amp;""</f>
        <v/>
      </c>
      <c r="I51" s="36"/>
      <c r="J51" s="36"/>
    </row>
    <row r="52" spans="1:12" s="1" customFormat="1" ht="75.75" customHeight="1" x14ac:dyDescent="0.2">
      <c r="A52" s="19" t="s">
        <v>843</v>
      </c>
      <c r="B52" s="18" t="str">
        <f>VLOOKUP($A52,Questions!$A$2:$X$333,2,0)</f>
        <v>Do any actions taken by your solution's LLM features or plugins require human intervention?*</v>
      </c>
      <c r="C52" s="21"/>
      <c r="D52" s="314"/>
      <c r="E52" s="168" t="str">
        <f>IF($C$18="No",'Auto Responses'!$A$6,IF($C$21="No",'Auto Responses'!$A$11,IF($C52="Yes",VLOOKUP($A52,Questions!$A$2:$X$333,17,0)&amp;"",IF($C52="No",VLOOKUP($A52,Questions!$A$2:$X$333,16,0)&amp;"",VLOOKUP($A52,Questions!$A$2:$X$333,15,0)&amp;""))))</f>
        <v>Based on the response to REQU-04 on the "START HERE" tab, this question does not apply to this product or service.</v>
      </c>
      <c r="F52" s="202" t="str">
        <f>VLOOKUP($A52,'Institution Evaluation'!$A$56:$F$346,6,0)&amp;""</f>
        <v/>
      </c>
      <c r="I52" s="36"/>
      <c r="J52" s="36"/>
    </row>
    <row r="53" spans="1:12" s="1" customFormat="1" ht="67.5" customHeight="1" x14ac:dyDescent="0.2">
      <c r="A53" s="19" t="s">
        <v>845</v>
      </c>
      <c r="B53" s="18" t="str">
        <f>VLOOKUP($A53,Questions!$A$2:$X$333,2,0)</f>
        <v>Do you limit multiple LLM model plugins being called as part of a single input?*</v>
      </c>
      <c r="C53" s="21"/>
      <c r="D53" s="314"/>
      <c r="E53" s="168" t="str">
        <f>IF($C$18="No",'Auto Responses'!$A$6,IF($C$21="No",'Auto Responses'!$A$11,IF($C53="Yes",VLOOKUP($A53,Questions!$A$2:$X$333,17,0)&amp;"",IF($C53="No",VLOOKUP($A53,Questions!$A$2:$X$333,16,0)&amp;"",VLOOKUP($A53,Questions!$A$2:$X$333,15,0)&amp;""))))</f>
        <v>Based on the response to REQU-04 on the "START HERE" tab, this question does not apply to this product or service.</v>
      </c>
      <c r="F53" s="202" t="str">
        <f>VLOOKUP($A53,'Institution Evaluation'!$A$56:$F$346,6,0)&amp;""</f>
        <v/>
      </c>
      <c r="I53" s="36"/>
      <c r="J53" s="36"/>
    </row>
    <row r="54" spans="1:12" s="1" customFormat="1" ht="49.5" customHeight="1" x14ac:dyDescent="0.2">
      <c r="A54" s="19" t="s">
        <v>847</v>
      </c>
      <c r="B54" s="18" t="str">
        <f>VLOOKUP($A54,Questions!$A$2:$X$333,2,0)</f>
        <v>Do you limit your solution's LLM resource use per request, per step, and per action?</v>
      </c>
      <c r="C54" s="21"/>
      <c r="D54" s="314"/>
      <c r="E54" s="168" t="str">
        <f>IF($C$18="No",'Auto Responses'!$A$6,IF($C$21="No",'Auto Responses'!$A$11,IF($C54="Yes",VLOOKUP($A54,Questions!$A$2:$X$333,17,0)&amp;"",IF($C54="No",VLOOKUP($A54,Questions!$A$2:$X$333,16,0)&amp;"",VLOOKUP($A54,Questions!$A$2:$X$333,15,0)&amp;""))))</f>
        <v>Based on the response to REQU-04 on the "START HERE" tab, this question does not apply to this product or service.</v>
      </c>
      <c r="F54" s="202" t="str">
        <f>VLOOKUP($A54,'Institution Evaluation'!$A$56:$F$346,6,0)&amp;""</f>
        <v/>
      </c>
      <c r="I54" s="36"/>
      <c r="J54" s="36"/>
    </row>
    <row r="55" spans="1:12" s="1" customFormat="1" ht="55.5" customHeight="1" x14ac:dyDescent="0.2">
      <c r="A55" s="19" t="s">
        <v>849</v>
      </c>
      <c r="B55" s="18" t="str">
        <f>VLOOKUP($A55,Questions!$A$2:$X$333,2,0)</f>
        <v>Do you leverage LLM model tuning or other model validation mechanisms?</v>
      </c>
      <c r="C55" s="21"/>
      <c r="D55" s="314"/>
      <c r="E55" s="168" t="str">
        <f>IF($C$18="No",'Auto Responses'!$A$6,IF($C$21="No",'Auto Responses'!$A$11,IF($C55="Yes",VLOOKUP($A55,Questions!$A$2:$X$333,17,0)&amp;"",IF($C55="No",VLOOKUP($A55,Questions!$A$2:$X$333,16,0)&amp;"",VLOOKUP($A55,Questions!$A$2:$X$333,15,0)&amp;""))))</f>
        <v>Based on the response to REQU-04 on the "START HERE" tab, this question does not apply to this product or service.</v>
      </c>
      <c r="F55" s="202" t="str">
        <f>VLOOKUP($A55,'Institution Evaluation'!$A$56:$F$346,6,0)&amp;""</f>
        <v/>
      </c>
      <c r="G55" s="239" t="s">
        <v>1505</v>
      </c>
      <c r="I55" s="36"/>
      <c r="J55" s="36"/>
    </row>
    <row r="56" spans="1:12" s="1" customFormat="1" ht="33" customHeight="1" x14ac:dyDescent="0.2">
      <c r="A56" s="268" t="s">
        <v>1565</v>
      </c>
      <c r="C56" s="8"/>
      <c r="D56" s="9"/>
      <c r="E56" s="240" t="s">
        <v>1506</v>
      </c>
      <c r="F56" s="200"/>
      <c r="G56" s="200"/>
      <c r="I56" s="36"/>
      <c r="J56" s="36"/>
    </row>
    <row r="57" spans="1:12" s="1" customFormat="1" ht="15" hidden="1" customHeight="1" x14ac:dyDescent="0.2">
      <c r="A57"/>
      <c r="C57" s="8"/>
      <c r="D57" s="9"/>
      <c r="E57" s="10"/>
      <c r="F57" s="200"/>
      <c r="G57" s="200"/>
      <c r="I57" s="36"/>
      <c r="J57" s="36"/>
    </row>
    <row r="58" spans="1:12" ht="15" hidden="1" customHeight="1" x14ac:dyDescent="0.2">
      <c r="A58" s="1"/>
      <c r="B58" s="8"/>
      <c r="C58" s="72"/>
      <c r="D58" s="10"/>
      <c r="E58" s="1"/>
      <c r="F58" s="200"/>
      <c r="G58" s="200"/>
      <c r="H58" s="36"/>
      <c r="I58" s="1"/>
      <c r="J58" s="1"/>
      <c r="L58"/>
    </row>
    <row r="59" spans="1:12" ht="0" hidden="1" customHeight="1" x14ac:dyDescent="0.2">
      <c r="A59" s="19" t="e">
        <f>#REF!</f>
        <v>#REF!</v>
      </c>
    </row>
    <row r="60" spans="1:12" ht="0" hidden="1" customHeight="1" x14ac:dyDescent="0.2">
      <c r="A60" s="19" t="e">
        <f>#REF!</f>
        <v>#REF!</v>
      </c>
    </row>
    <row r="61" spans="1:12" ht="0" hidden="1" customHeight="1" x14ac:dyDescent="0.2">
      <c r="A61" s="19" t="e">
        <f>#REF!</f>
        <v>#REF!</v>
      </c>
    </row>
    <row r="62" spans="1:12" ht="0" hidden="1" customHeight="1" x14ac:dyDescent="0.2">
      <c r="A62" s="19" t="e">
        <f>#REF!</f>
        <v>#REF!</v>
      </c>
    </row>
    <row r="63" spans="1:12" ht="0" hidden="1" customHeight="1" x14ac:dyDescent="0.2">
      <c r="A63" s="19" t="e">
        <f>#REF!</f>
        <v>#REF!</v>
      </c>
    </row>
    <row r="64" spans="1:12" ht="0" hidden="1" customHeight="1" x14ac:dyDescent="0.2">
      <c r="A64" s="19" t="e">
        <f>#REF!</f>
        <v>#REF!</v>
      </c>
    </row>
    <row r="65" spans="1:1" ht="0" hidden="1" customHeight="1" x14ac:dyDescent="0.2">
      <c r="A65" s="19" t="e">
        <f>#REF!</f>
        <v>#REF!</v>
      </c>
    </row>
    <row r="1048576" ht="3" customHeight="1" x14ac:dyDescent="0.2"/>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C33 C23:C25 C27 C29:C31 C36:C37</xm:sqref>
        </x14:dataValidation>
        <x14:dataValidation type="list" allowBlank="1" showInputMessage="1" showErrorMessage="1" xr:uid="{4A23C9A0-1FE5-4D10-AF05-66D34E31FEC6}">
          <x14:formula1>
            <xm:f>'Auto Responses'!$J$3:$J$5</xm:f>
          </x14:formula1>
          <xm:sqref>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D24" sqref="D24"/>
    </sheetView>
  </sheetViews>
  <sheetFormatPr defaultColWidth="0" defaultRowHeight="0" customHeight="1" zeroHeight="1" x14ac:dyDescent="0.2"/>
  <cols>
    <col min="1" max="1" width="8.296875" customWidth="1"/>
    <col min="2" max="2" width="55.09765625" style="1" customWidth="1"/>
    <col min="3" max="3" width="18.8984375" style="8" customWidth="1"/>
    <col min="4" max="4" width="55.69921875" style="9" customWidth="1"/>
    <col min="5" max="5" width="32" style="41" customWidth="1"/>
    <col min="6" max="6" width="30.69921875" style="197" customWidth="1"/>
    <col min="7" max="7" width="18.09765625" style="1" customWidth="1"/>
    <col min="8" max="8" width="18.09765625" style="36" hidden="1" customWidth="1"/>
    <col min="9" max="10" width="18.09765625" style="1" hidden="1" customWidth="1"/>
    <col min="11" max="11" width="6.59765625" style="1" hidden="1" customWidth="1"/>
    <col min="12" max="16384" width="6.59765625" hidden="1"/>
  </cols>
  <sheetData>
    <row r="1" spans="1:9" ht="0" hidden="1" customHeight="1" x14ac:dyDescent="0.2">
      <c r="A1" t="s">
        <v>1504</v>
      </c>
    </row>
    <row r="2" spans="1:9" ht="36" customHeight="1" x14ac:dyDescent="0.2">
      <c r="A2" s="169" t="s">
        <v>1433</v>
      </c>
      <c r="B2" s="169"/>
      <c r="C2" s="170"/>
      <c r="D2" s="309"/>
      <c r="E2" s="171"/>
      <c r="F2" s="198" t="str">
        <f>'Auto Responses'!$A$36</f>
        <v>Version 4.1.2</v>
      </c>
    </row>
    <row r="3" spans="1:9" s="1" customFormat="1" ht="29.1" customHeight="1" x14ac:dyDescent="0.2">
      <c r="A3" s="38" t="s">
        <v>975</v>
      </c>
      <c r="B3" s="79"/>
      <c r="C3" s="67" t="str">
        <f>'START HERE'!$C$3</f>
        <v>Oct 17 2025</v>
      </c>
      <c r="D3" s="310"/>
      <c r="E3" s="37"/>
      <c r="F3" s="51"/>
      <c r="H3" s="36"/>
    </row>
    <row r="4" spans="1:9" s="1" customFormat="1" ht="36" customHeight="1" x14ac:dyDescent="0.2">
      <c r="A4" s="11" t="s">
        <v>900</v>
      </c>
      <c r="B4" s="12"/>
      <c r="C4" s="13"/>
      <c r="D4" s="14"/>
      <c r="E4" s="15"/>
      <c r="F4" s="15"/>
      <c r="H4" s="36"/>
    </row>
    <row r="5" spans="1:9" s="1" customFormat="1" ht="19.5" customHeight="1" x14ac:dyDescent="0.2">
      <c r="A5" s="43" t="str">
        <f>HLOOKUP($A$4,'Auto Responses'!$D$2:$D$8,2,0)&amp;""</f>
        <v>1. Complete the "Start Here" tab and review the "Required Questions" guidance to find the other sections are required for your product or service.</v>
      </c>
      <c r="B5" s="16"/>
      <c r="C5" s="68"/>
      <c r="D5" s="311"/>
      <c r="E5" s="16"/>
      <c r="F5" s="262"/>
      <c r="I5" s="36"/>
    </row>
    <row r="6" spans="1:9" s="1" customFormat="1" ht="19.5" customHeight="1" x14ac:dyDescent="0.2">
      <c r="A6" s="43" t="str">
        <f>HLOOKUP($A$4,'Auto Responses'!$D$2:$D$8,3,0)&amp;""</f>
        <v>2. Complete the "Organization" tab and the applicable questions in each of the next 5 tabs (Product through Privacy) that apply, based on your answers to the "Required Questions."</v>
      </c>
      <c r="B6" s="16"/>
      <c r="C6" s="68"/>
      <c r="D6" s="311"/>
      <c r="E6" s="16"/>
      <c r="F6" s="263"/>
      <c r="I6" s="36"/>
    </row>
    <row r="7" spans="1:9" s="1" customFormat="1" ht="19.5" customHeight="1" x14ac:dyDescent="0.2">
      <c r="A7" s="43" t="str">
        <f>HLOOKUP($A$4,'Auto Responses'!$D$2:$D$8,4,0)&amp;""</f>
        <v xml:space="preserve">3. Guidance in column E may change based on your answers to prompt details in "Additional Information." If leaving an answer blank, you must also state why in "Additional Information". </v>
      </c>
      <c r="B7" s="16"/>
      <c r="C7" s="68"/>
      <c r="D7" s="311"/>
      <c r="E7" s="16"/>
      <c r="F7" s="263"/>
      <c r="I7" s="36"/>
    </row>
    <row r="8" spans="1:9" s="1" customFormat="1" ht="19.5" customHeight="1" x14ac:dyDescent="0.2">
      <c r="A8" s="43" t="str">
        <f>HLOOKUP($A$4,'Auto Responses'!$D$2:$D$8,5,0)&amp;""</f>
        <v>4. DO NOT complete any fields in the "Evaluation" sheets or the "Analyst Notes" column.</v>
      </c>
      <c r="B8" s="16"/>
      <c r="C8" s="68"/>
      <c r="D8" s="311"/>
      <c r="E8" s="16"/>
      <c r="F8" s="263"/>
      <c r="I8" s="36"/>
    </row>
    <row r="9" spans="1:9" s="1" customFormat="1" ht="19.5" customHeight="1" x14ac:dyDescent="0.2">
      <c r="A9" s="43" t="str">
        <f>HLOOKUP($A$4,'Auto Responses'!$D$2:$D$8,6,0)&amp;""</f>
        <v>5. Return the completed file to institutions.</v>
      </c>
      <c r="B9" s="16"/>
      <c r="C9" s="68"/>
      <c r="D9" s="311"/>
      <c r="E9" s="16"/>
      <c r="F9" s="263"/>
      <c r="I9" s="36"/>
    </row>
    <row r="10" spans="1:9" s="1" customFormat="1" ht="19.5" customHeight="1" x14ac:dyDescent="0.2">
      <c r="A10" s="248" t="str">
        <f>HLOOKUP($A$4,'Auto Responses'!$D$2:$D$8,7,0)&amp;""</f>
        <v>* Denotes critical questions. Critical questions are those deemed most important to institutions by higher education volunteers.</v>
      </c>
      <c r="B10" s="16"/>
      <c r="C10" s="68"/>
      <c r="D10" s="311"/>
      <c r="E10" s="16"/>
      <c r="F10" s="263"/>
      <c r="I10" s="36"/>
    </row>
    <row r="11" spans="1:9" s="1" customFormat="1" ht="19.5" customHeight="1" x14ac:dyDescent="0.2">
      <c r="A11" s="247" t="str">
        <f>HLOOKUP($A$4,'Auto Responses'!$D$2:$D$9,8,0)&amp;""</f>
        <v>For full instructions, please visit educause.edu/HECVAT</v>
      </c>
      <c r="B11" s="16"/>
      <c r="C11" s="68"/>
      <c r="D11" s="311"/>
      <c r="E11" s="16"/>
      <c r="F11" s="264"/>
      <c r="I11" s="36"/>
    </row>
    <row r="12" spans="1:9" s="1" customFormat="1" ht="36" customHeight="1" x14ac:dyDescent="0.2">
      <c r="A12" s="64" t="str">
        <f>VLOOKUP(LEFT($A13,4),'Auto Responses'!$N$4:$O$38,2,0)&amp;""</f>
        <v xml:space="preserve"> General Information</v>
      </c>
      <c r="B12" s="12"/>
      <c r="C12" s="13" t="s">
        <v>1555</v>
      </c>
      <c r="D12" s="328"/>
      <c r="E12" s="81"/>
      <c r="F12" s="81"/>
      <c r="H12" s="36"/>
    </row>
    <row r="13" spans="1:9" s="1" customFormat="1" ht="22.35" customHeight="1" x14ac:dyDescent="0.2">
      <c r="A13" s="19" t="s">
        <v>21</v>
      </c>
      <c r="B13" s="80" t="str">
        <f>VLOOKUP($A13,Questions!$A$2:$X$333,2,0)&amp;""</f>
        <v>Solution Provider Name</v>
      </c>
      <c r="C13" s="77" t="str">
        <f>VLOOKUP($A13,'START HERE'!$A$13:$C$21,3,0)&amp;""</f>
        <v>Indiana University</v>
      </c>
      <c r="D13" s="310"/>
      <c r="E13" s="37"/>
      <c r="F13" s="51"/>
      <c r="H13" s="36"/>
    </row>
    <row r="14" spans="1:9" s="1" customFormat="1" ht="22.35" customHeight="1" x14ac:dyDescent="0.2">
      <c r="A14" s="19" t="s">
        <v>24</v>
      </c>
      <c r="B14" s="80" t="str">
        <f>VLOOKUP($A14,Questions!$A$2:$X$333,2,0)&amp;""</f>
        <v>Solution Name</v>
      </c>
      <c r="C14" s="77" t="str">
        <f>VLOOKUP($A14,'START HERE'!$A$13:$C$21,3,0)&amp;""</f>
        <v>NSSE Shorts</v>
      </c>
      <c r="D14" s="310"/>
      <c r="E14" s="37"/>
      <c r="F14" s="51"/>
      <c r="H14" s="36"/>
    </row>
    <row r="15" spans="1:9" s="1" customFormat="1" ht="22.35" customHeight="1" x14ac:dyDescent="0.2">
      <c r="A15" s="19" t="s">
        <v>25</v>
      </c>
      <c r="B15" s="80" t="str">
        <f>VLOOKUP($A15,Questions!$A$2:$X$333,2,0)&amp;""</f>
        <v>Solution Description</v>
      </c>
      <c r="C15" s="77" t="str">
        <f>VLOOKUP($A15,'START HERE'!$A$13:$C$21,3,0)&amp;""</f>
        <v>We survey undergraduate students about their college experiences</v>
      </c>
      <c r="D15" s="310"/>
      <c r="E15" s="37"/>
      <c r="F15" s="51"/>
      <c r="H15" s="36"/>
    </row>
    <row r="16" spans="1:9" s="1" customFormat="1" ht="22.35" customHeight="1" x14ac:dyDescent="0.2">
      <c r="A16" s="19" t="s">
        <v>30</v>
      </c>
      <c r="B16" s="80" t="str">
        <f>VLOOKUP($A16,Questions!$A$2:$X$333,2,0)&amp;""</f>
        <v>Country of Company Headquarters</v>
      </c>
      <c r="C16" s="77" t="str">
        <f>VLOOKUP($A16,'START HERE'!$A$13:$C$21,3,0)&amp;""</f>
        <v>Bloomington, Indiana</v>
      </c>
      <c r="D16" s="310"/>
      <c r="E16" s="37"/>
      <c r="F16" s="51"/>
      <c r="H16" s="36"/>
    </row>
    <row r="17" spans="1:8" s="1" customFormat="1" ht="22.35" customHeight="1" x14ac:dyDescent="0.2">
      <c r="A17" s="19" t="s">
        <v>32</v>
      </c>
      <c r="B17" s="80" t="str">
        <f>VLOOKUP($A17,Questions!$A$2:$X$333,2,0)&amp;""</f>
        <v>Employee Work Locations (all)</v>
      </c>
      <c r="C17" s="77" t="str">
        <f>VLOOKUP($A17,'START HERE'!$A$13:$C$21,3,0)&amp;""</f>
        <v/>
      </c>
      <c r="D17" s="310"/>
      <c r="E17" s="37"/>
      <c r="F17" s="51"/>
      <c r="H17" s="36"/>
    </row>
    <row r="18" spans="1:8" s="1" customFormat="1" ht="37.35" customHeight="1" thickBot="1" x14ac:dyDescent="0.25">
      <c r="A18" s="64" t="str">
        <f>VLOOKUP(LEFT($A19,4),'Auto Responses'!$N$4:$O$38,2,0)&amp;""</f>
        <v xml:space="preserve"> Required Questions</v>
      </c>
      <c r="B18" s="23"/>
      <c r="C18" s="13" t="s">
        <v>1555</v>
      </c>
      <c r="D18" s="13" t="s">
        <v>72</v>
      </c>
      <c r="E18" s="32" t="s">
        <v>883</v>
      </c>
      <c r="F18" s="204" t="s">
        <v>884</v>
      </c>
      <c r="H18" s="36"/>
    </row>
    <row r="19" spans="1:8" s="1" customFormat="1" ht="38.25" customHeight="1" x14ac:dyDescent="0.2">
      <c r="A19" s="19" t="s">
        <v>58</v>
      </c>
      <c r="B19" s="18" t="str">
        <f>VLOOKUP($A19,Questions!$A$2:$X$333,2,0)</f>
        <v>Does your solution have AI features, or are there plans to implement AI features in the next 12 months?</v>
      </c>
      <c r="C19" s="73" t="str">
        <f>VLOOKUP($A19,'START HERE'!$A$23:$F$36,3,0)&amp;""</f>
        <v>No</v>
      </c>
      <c r="D19" s="313" t="str">
        <f>VLOOKUP($A19,'START HERE'!$A$23:$F$36,4,0)&amp;""</f>
        <v/>
      </c>
      <c r="E19" s="22" t="str">
        <f>IF($C19="Yes",VLOOKUP($A19,Questions!$A$2:$X$333,17,0)&amp;"",IF($C19="No",VLOOKUP($A19,Questions!$A$2:$X$333,16,0)&amp;"",VLOOKUP($A19,Questions!$A$2:$X$333,15,0)&amp;""))</f>
        <v>DO NOT complete the Artificial Intelligence (AI) worksheet</v>
      </c>
      <c r="F19" s="205" t="str">
        <f>VLOOKUP($A19,'START HERE'!$A$23:$F$36,6,0)&amp;""</f>
        <v/>
      </c>
      <c r="H19" s="36"/>
    </row>
    <row r="20" spans="1:8" s="1" customFormat="1" ht="50.25" customHeight="1" x14ac:dyDescent="0.2">
      <c r="A20" s="19" t="s">
        <v>61</v>
      </c>
      <c r="B20" s="18" t="str">
        <f>VLOOKUP($A20,Questions!$A$2:$X$333,2,0)</f>
        <v>Does your solution process protected health information (PHI) or any data covered by the Health Insurance Portability and Accountability Act (HIPAA)?</v>
      </c>
      <c r="C20" s="73" t="str">
        <f>VLOOKUP($A20,'START HERE'!$A$23:$F$36,3,0)&amp;""</f>
        <v>No</v>
      </c>
      <c r="D20" s="313" t="str">
        <f>VLOOKUP($A20,'START HERE'!$A$23:$F$36,4,0)&amp;""</f>
        <v/>
      </c>
      <c r="E20" s="22" t="str">
        <f>IF($C20="Yes",VLOOKUP($A20,Questions!$A$2:$X$333,17,0)&amp;"",IF($C20="No",VLOOKUP($A20,Questions!$A$2:$X$333,16,0)&amp;"",VLOOKUP($A20,Questions!$A$2:$X$333,15,0)&amp;""))</f>
        <v>DO NOT complete the HIPAA section in the Case-Specific worksheet</v>
      </c>
      <c r="F20" s="205" t="str">
        <f>VLOOKUP($A20,'START HERE'!$A$23:$F$36,6,0)&amp;""</f>
        <v/>
      </c>
      <c r="H20" s="36"/>
    </row>
    <row r="21" spans="1:8" s="1" customFormat="1" ht="56.25" customHeight="1" x14ac:dyDescent="0.2">
      <c r="A21" s="19" t="s">
        <v>64</v>
      </c>
      <c r="B21" s="18" t="str">
        <f>VLOOKUP($A21,Questions!$A$2:$X$333,2,0)</f>
        <v>Is the solution designed to process, store, or transmit credit card information?</v>
      </c>
      <c r="C21" s="73" t="str">
        <f>VLOOKUP($A21,'START HERE'!$A$23:$F$36,3,0)&amp;""</f>
        <v>No</v>
      </c>
      <c r="D21" s="313" t="str">
        <f>VLOOKUP($A21,'START HERE'!$A$23:$F$36,4,0)&amp;""</f>
        <v/>
      </c>
      <c r="E21" s="22" t="str">
        <f>IF($C21="Yes",VLOOKUP($A21,Questions!$A$2:$X$333,17,0)&amp;"",IF($C21="No",VLOOKUP($A21,Questions!$A$2:$X$333,16,0)&amp;"",VLOOKUP($A21,Questions!$A$2:$X$333,15,0)&amp;""))</f>
        <v>DO NOT complete the PCI-DSS section in the Case-Specific worksheet</v>
      </c>
      <c r="F21" s="205" t="str">
        <f>VLOOKUP($A21,'START HERE'!$A$23:$F$36,6,0)&amp;""</f>
        <v/>
      </c>
      <c r="H21" s="36"/>
    </row>
    <row r="22" spans="1:8" s="1" customFormat="1" ht="56.25" customHeight="1" thickBot="1" x14ac:dyDescent="0.25">
      <c r="A22" s="19" t="s">
        <v>1004</v>
      </c>
      <c r="B22" s="18" t="str">
        <f>VLOOKUP($A22,Questions!$A$2:$X$333,2,0)</f>
        <v>Does your solution have access to personal or institutional data?</v>
      </c>
      <c r="C22" s="73" t="str">
        <f>VLOOKUP($A22,'START HERE'!$A$23:$F$36,3,0)&amp;""</f>
        <v>No</v>
      </c>
      <c r="D22" s="313" t="str">
        <f>VLOOKUP($A22,'START HERE'!$A$23:$F$36,4,0)&amp;""</f>
        <v>NSSE Shorts does not collect any personally identifiable student data. Institutions requesting student specific links are required to provide masked student IDs. See "Survey Administration Options" https://nsse.indiana.edu/nsse/nsse-shorts/NSSE-Shorts-Administration-Instructions.html</v>
      </c>
      <c r="E22" s="22" t="str">
        <f>IF($C22="Yes",VLOOKUP($A22,Questions!$A$2:$X$333,17,0)&amp;"",IF($C22="No",VLOOKUP($A22,Questions!$A$2:$X$333,16,0)&amp;"",VLOOKUP($A22,Questions!$A$2:$X$333,15,0)&amp;""))</f>
        <v>DO NOT complete the Privacy tab</v>
      </c>
      <c r="F22" s="205" t="str">
        <f>VLOOKUP($A22,'START HERE'!$A$23:$F$36,6,0)&amp;""</f>
        <v/>
      </c>
      <c r="G22" s="239" t="s">
        <v>1505</v>
      </c>
      <c r="H22" s="36"/>
    </row>
    <row r="23" spans="1:8" s="1" customFormat="1" ht="37.35" customHeight="1" thickBot="1" x14ac:dyDescent="0.25">
      <c r="A23" s="64" t="str">
        <f>VLOOKUP(LEFT($A24,4),'Auto Responses'!$N$4:$O$38,2,0)&amp;""</f>
        <v xml:space="preserve"> General Privacy</v>
      </c>
      <c r="B23" s="23"/>
      <c r="C23" s="13" t="s">
        <v>1555</v>
      </c>
      <c r="D23" s="13" t="s">
        <v>72</v>
      </c>
      <c r="E23" s="32" t="s">
        <v>883</v>
      </c>
      <c r="F23" s="203" t="s">
        <v>884</v>
      </c>
      <c r="H23" s="36"/>
    </row>
    <row r="24" spans="1:8" s="1" customFormat="1" ht="90" customHeight="1" x14ac:dyDescent="0.2">
      <c r="A24" s="19" t="s">
        <v>892</v>
      </c>
      <c r="B24" s="18" t="str">
        <f>VLOOKUP($A24,Questions!$A$2:$X$333,2,0)</f>
        <v>Does your solution process FERPA-related data?</v>
      </c>
      <c r="C24" s="21"/>
      <c r="D24" s="317"/>
      <c r="E24" s="22" t="str">
        <f>IF($C24="Yes",VLOOKUP($A24,Questions!$A$2:$X$333,17,0)&amp;"",IF($C24="No",VLOOKUP($A24,Questions!$A$2:$X$333,16,0)&amp;"",VLOOKUP($A24,Questions!$A$2:$X$333,15,0)&amp;""))</f>
        <v>FERPA-related data includes any data maintained by (or on behalf of) the institution that is directly related to an identifiable student.</v>
      </c>
      <c r="F24" s="205" t="str">
        <f>VLOOKUP($A24,'Privacy Analyst Evaluation'!$A$46:$F$120,6,0)&amp;""</f>
        <v/>
      </c>
      <c r="H24" s="36"/>
    </row>
    <row r="25" spans="1:8" s="1" customFormat="1" ht="114" x14ac:dyDescent="0.2">
      <c r="A25" s="19" t="s">
        <v>893</v>
      </c>
      <c r="B25" s="18" t="str">
        <f>VLOOKUP($A25,Questions!$A$2:$X$333,2,0)</f>
        <v>Does your solution process GDPR-related or PIPL-related data?</v>
      </c>
      <c r="C25" s="21"/>
      <c r="D25" s="317"/>
      <c r="E25" s="22" t="str">
        <f>IF($C25="Yes",VLOOKUP($A25,Questions!$A$2:$X$333,17,0)&amp;"",IF($C25="No",VLOOKUP($A25,Questions!$A$2:$X$333,16,0)&amp;"",VLOOKUP($A25,Questions!$A$2:$X$333,15,0)&amp;""))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5" t="str">
        <f>VLOOKUP($A25,'Privacy Analyst Evaluation'!$A$46:$F$120,6,0)&amp;""</f>
        <v/>
      </c>
      <c r="H25" s="36"/>
    </row>
    <row r="26" spans="1:8" s="1" customFormat="1" ht="28.5" x14ac:dyDescent="0.2">
      <c r="A26" s="19" t="s">
        <v>894</v>
      </c>
      <c r="B26" s="18" t="str">
        <f>VLOOKUP($A26,Questions!$A$2:$X$333,2,0)</f>
        <v>Does your solution process personal data regulated by state law(s) (e.g., CCPA)?</v>
      </c>
      <c r="C26" s="21"/>
      <c r="D26" s="317"/>
      <c r="E26" s="22" t="str">
        <f>IF($C26="Yes",VLOOKUP($A26,Questions!$A$2:$X$333,17,0)&amp;"",IF($C26="No",VLOOKUP($A26,Questions!$A$2:$X$333,16,0)&amp;"",VLOOKUP($A26,Questions!$A$2:$X$333,15,0)&amp;""))</f>
        <v/>
      </c>
      <c r="F26" s="205" t="str">
        <f>VLOOKUP($A26,'Privacy Analyst Evaluation'!$A$46:$F$120,6,0)&amp;""</f>
        <v/>
      </c>
      <c r="H26" s="36"/>
    </row>
    <row r="27" spans="1:8" s="1" customFormat="1" ht="28.5" x14ac:dyDescent="0.2">
      <c r="A27" s="19" t="s">
        <v>895</v>
      </c>
      <c r="B27" s="18" t="str">
        <f>VLOOKUP($A27,Questions!$A$2:$X$333,2,0)</f>
        <v>Does your solution process user-provided data that may contain regulated information?</v>
      </c>
      <c r="C27" s="21"/>
      <c r="D27" s="317"/>
      <c r="E27" s="22" t="str">
        <f>IF($C27="Yes",VLOOKUP($A27,Questions!$A$2:$X$333,17,0)&amp;"",IF($C27="No",VLOOKUP($A27,Questions!$A$2:$X$333,16,0)&amp;"",VLOOKUP($A27,Questions!$A$2:$X$333,15,0)&amp;""))</f>
        <v/>
      </c>
      <c r="F27" s="205" t="str">
        <f>VLOOKUP($A27,'Privacy Analyst Evaluation'!$A$46:$F$120,6,0)&amp;""</f>
        <v/>
      </c>
      <c r="H27" s="36"/>
    </row>
    <row r="28" spans="1:8" s="1" customFormat="1" ht="57.75" thickBot="1" x14ac:dyDescent="0.25">
      <c r="A28" s="19" t="s">
        <v>896</v>
      </c>
      <c r="B28" s="18" t="str">
        <f>VLOOKUP($A28,Questions!$A$2:$X$333,2,0)</f>
        <v>Web Link to Product/Service Privacy Notice</v>
      </c>
      <c r="C28" s="77"/>
      <c r="D28" s="318"/>
      <c r="E28" s="22" t="str">
        <f>IF($C28="Yes",VLOOKUP($A28,Questions!$A$2:$X$333,17,0)&amp;"",IF($C28="No",VLOOKUP($A28,Questions!$A$2:$X$333,16,0)&amp;"",VLOOKUP($A28,Questions!$A$2:$X$333,15,0)&amp;""))</f>
        <v>If multiple notices are implicated, provide all that apply. If any other documents are incorporated by reference, provide them as well.</v>
      </c>
      <c r="F28" s="205" t="str">
        <f>VLOOKUP($A28,'Privacy Analyst Evaluation'!$A$46:$F$120,6,0)&amp;""</f>
        <v/>
      </c>
      <c r="G28" s="239" t="s">
        <v>1505</v>
      </c>
      <c r="H28" s="36"/>
    </row>
    <row r="29" spans="1:8" s="1" customFormat="1" ht="37.35" customHeight="1" thickBot="1" x14ac:dyDescent="0.25">
      <c r="A29" s="64" t="str">
        <f>VLOOKUP(LEFT($A30,4),'Auto Responses'!$N$4:$O$38,2,0)&amp;""</f>
        <v xml:space="preserve"> Privacy-Specific Company Details</v>
      </c>
      <c r="B29" s="23"/>
      <c r="C29" s="13" t="s">
        <v>1555</v>
      </c>
      <c r="D29" s="13" t="s">
        <v>72</v>
      </c>
      <c r="E29" s="32" t="s">
        <v>883</v>
      </c>
      <c r="F29" s="203" t="s">
        <v>884</v>
      </c>
      <c r="H29" s="36"/>
    </row>
    <row r="30" spans="1:8" s="1" customFormat="1" ht="78" customHeight="1" x14ac:dyDescent="0.2">
      <c r="A30" s="19" t="s">
        <v>711</v>
      </c>
      <c r="B30" s="18" t="str">
        <f>VLOOKUP($A30,Questions!$A$2:$X$333,2,0)</f>
        <v>Have you had a personal data breach in the past three years that involved reporting to a governmental agency, notice to individuals (including voluntary notice), or notice to another organization or institution?*</v>
      </c>
      <c r="C30" s="21"/>
      <c r="D30" s="317"/>
      <c r="E30" s="22" t="str">
        <f>IF($C30="Yes",VLOOKUP($A30,Questions!$A$2:$X$333,17,0)&amp;"",IF($C30="No",VLOOKUP($A30,Questions!$A$2:$X$333,16,0)&amp;"",VLOOKUP($A30,Questions!$A$2:$X$333,15,0)&amp;""))</f>
        <v/>
      </c>
      <c r="F30" s="205" t="str">
        <f>VLOOKUP($A30,'Privacy Analyst Evaluation'!$A$46:$F$120,6,0)&amp;""</f>
        <v/>
      </c>
      <c r="H30" s="36"/>
    </row>
    <row r="31" spans="1:8" s="1" customFormat="1" ht="60.75" customHeight="1" x14ac:dyDescent="0.2">
      <c r="A31" s="19" t="s">
        <v>713</v>
      </c>
      <c r="B31" s="18" t="str">
        <f>VLOOKUP($A31,Questions!$A$2:$X$333,2,0)</f>
        <v>Use this area to share information about your privacy practices that will assist those who are assessing your company data privacy program.*</v>
      </c>
      <c r="C31" s="77"/>
      <c r="D31" s="318"/>
      <c r="E31" s="22" t="str">
        <f>IF($C31="Yes",VLOOKUP($A31,Questions!$A$2:$X$333,17,0)&amp;"",IF($C31="No",VLOOKUP($A31,Questions!$A$2:$X$333,16,0)&amp;"",VLOOKUP($A31,Questions!$A$2:$X$333,15,0)&amp;""))</f>
        <v>Share any additional details that would help data privacy analysts assess your solution.</v>
      </c>
      <c r="F31" s="205" t="str">
        <f>VLOOKUP($A31,'Privacy Analyst Evaluation'!$A$46:$F$120,6,0)&amp;""</f>
        <v/>
      </c>
      <c r="H31" s="36"/>
    </row>
    <row r="32" spans="1:8" s="1" customFormat="1" ht="42.75" customHeight="1" x14ac:dyDescent="0.2">
      <c r="A32" s="19" t="s">
        <v>714</v>
      </c>
      <c r="B32" s="18" t="str">
        <f>VLOOKUP($A32,Questions!$A$2:$X$333,2,0)</f>
        <v>Have you had any violations of your internal privacy policies or violations of applicable privacy law in the past 36 months?</v>
      </c>
      <c r="C32" s="21"/>
      <c r="D32" s="317"/>
      <c r="E32" s="22" t="str">
        <f>IF($C32="Yes",VLOOKUP($A32,Questions!$A$2:$X$333,17,0)&amp;"",IF($C32="No",VLOOKUP($A32,Questions!$A$2:$X$333,16,0)&amp;"",VLOOKUP($A32,Questions!$A$2:$X$333,15,0)&amp;""))</f>
        <v/>
      </c>
      <c r="F32" s="205" t="str">
        <f>VLOOKUP($A32,'Privacy Analyst Evaluation'!$A$46:$F$120,6,0)&amp;""</f>
        <v/>
      </c>
      <c r="H32" s="36"/>
    </row>
    <row r="33" spans="1:8" s="1" customFormat="1" ht="66.75" customHeight="1" thickBot="1" x14ac:dyDescent="0.25">
      <c r="A33" s="19" t="s">
        <v>715</v>
      </c>
      <c r="B33" s="18" t="str">
        <f>VLOOKUP($A33,Questions!$A$2:$X$333,2,0)</f>
        <v>Do you have a dedicated data privacy staff or office?</v>
      </c>
      <c r="C33" s="21"/>
      <c r="D33" s="35"/>
      <c r="E33" s="22" t="str">
        <f>IF($C33="Yes",VLOOKUP($A33,Questions!$A$2:$X$333,17,0)&amp;"",IF($C33="No",VLOOKUP($A33,Questions!$A$2:$X$333,16,0)&amp;"",VLOOKUP($A33,Questions!$A$2:$X$333,15,0)&amp;""))</f>
        <v>This can include another office, such as information security, dedicated to privacy protection.</v>
      </c>
      <c r="F33" s="205" t="str">
        <f>VLOOKUP($A33,'Privacy Analyst Evaluation'!$A$46:$F$120,6,0)&amp;""</f>
        <v/>
      </c>
      <c r="G33" s="239" t="s">
        <v>1505</v>
      </c>
      <c r="H33" s="36"/>
    </row>
    <row r="34" spans="1:8" s="1" customFormat="1" ht="37.35" customHeight="1" thickBot="1" x14ac:dyDescent="0.25">
      <c r="A34" s="64" t="str">
        <f>VLOOKUP(LEFT($A35,4),'Auto Responses'!$N$4:$O$38,2,0)&amp;""</f>
        <v xml:space="preserve"> Privacy-Specific Documentation</v>
      </c>
      <c r="B34" s="23"/>
      <c r="C34" s="13" t="s">
        <v>1555</v>
      </c>
      <c r="D34" s="13" t="s">
        <v>72</v>
      </c>
      <c r="E34" s="32" t="s">
        <v>883</v>
      </c>
      <c r="F34" s="203" t="s">
        <v>884</v>
      </c>
      <c r="H34" s="36"/>
    </row>
    <row r="35" spans="1:8" s="1" customFormat="1" ht="99.75" customHeight="1" x14ac:dyDescent="0.2">
      <c r="A35" s="19" t="s">
        <v>716</v>
      </c>
      <c r="B35" s="18" t="str">
        <f>VLOOKUP($A35,Questions!$A$2:$X$333,2,0)</f>
        <v>If you have completed a SOC 2 audit, does it include the Privacy Trust Service Principle?</v>
      </c>
      <c r="C35" s="21"/>
      <c r="D35" s="35"/>
      <c r="E35" s="22" t="str">
        <f>IF($C35="Yes",VLOOKUP($A35,Questions!$A$2:$X$333,17,0)&amp;"",IF($C35="No",VLOOKUP($A35,Questions!$A$2:$X$333,16,0)&amp;"",IF($C35="N/A",VLOOKUP($A35,Questions!$A$2:$X$333,18,0)&amp;"",VLOOKUP($A35,Questions!$A$2:$X$333,15,0)&amp;"")))</f>
        <v>SOC 2 Type II audits can be conducted for any or all of five trust principles (confidentiality, integrity, availability, security, and privacy). Answer "yes" if your audit included the privacy principle.</v>
      </c>
      <c r="F35" s="205" t="str">
        <f>VLOOKUP($A35,'Privacy Analyst Evaluation'!$A$46:$F$120,6,0)&amp;""</f>
        <v/>
      </c>
      <c r="H35" s="36"/>
    </row>
    <row r="36" spans="1:8" s="1" customFormat="1" ht="69.75" customHeight="1" x14ac:dyDescent="0.2">
      <c r="A36" s="19" t="s">
        <v>717</v>
      </c>
      <c r="B36" s="18" t="str">
        <f>VLOOKUP($A36,Questions!$A$2:$X$333,2,0)</f>
        <v>Do you conform with a specific industry-standard privacy framework (e.g., NIST Privacy Framework, GDPR, ISO 27701)?</v>
      </c>
      <c r="C36" s="21"/>
      <c r="D36" s="35"/>
      <c r="E36" s="22" t="str">
        <f>IF($C36="Yes",VLOOKUP($A36,Questions!$A$2:$X$333,17,0)&amp;"",IF($C36="No",VLOOKUP($A36,Questions!$A$2:$X$333,16,0)&amp;"",VLOOKUP($A36,Questions!$A$2:$X$333,15,0)&amp;""))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5" t="str">
        <f>VLOOKUP($A36,'Privacy Analyst Evaluation'!$A$46:$F$120,6,0)&amp;""</f>
        <v/>
      </c>
      <c r="H36" s="36"/>
    </row>
    <row r="37" spans="1:8" s="1" customFormat="1" ht="76.5" customHeight="1" thickBot="1" x14ac:dyDescent="0.25">
      <c r="A37" s="19" t="s">
        <v>718</v>
      </c>
      <c r="B37" s="18" t="str">
        <f>VLOOKUP($A37,Questions!$A$2:$X$333,2,0)</f>
        <v>Does your employee onboarding and offboarding policy include training of employees on information security and data privacy?</v>
      </c>
      <c r="C37" s="21"/>
      <c r="D37" s="35"/>
      <c r="E37" s="22" t="str">
        <f>IF($C37="Yes",VLOOKUP($A37,Questions!$A$2:$X$333,17,0)&amp;"",IF($C37="No",VLOOKUP($A37,Questions!$A$2:$X$333,16,0)&amp;"",VLOOKUP($A37,Questions!$A$2:$X$333,15,0)&amp;""))</f>
        <v/>
      </c>
      <c r="F37" s="205" t="str">
        <f>VLOOKUP($A37,'Privacy Analyst Evaluation'!$A$46:$F$120,6,0)&amp;""</f>
        <v/>
      </c>
      <c r="G37" s="239" t="s">
        <v>1505</v>
      </c>
      <c r="H37" s="36"/>
    </row>
    <row r="38" spans="1:8" s="1" customFormat="1" ht="37.35" customHeight="1" thickBot="1" x14ac:dyDescent="0.25">
      <c r="A38" s="64" t="str">
        <f>VLOOKUP(LEFT($A39,4),'Auto Responses'!$N$4:$O$38,2,0)&amp;""</f>
        <v xml:space="preserve"> Privacy of Third Parties</v>
      </c>
      <c r="B38" s="23"/>
      <c r="C38" s="13" t="s">
        <v>1555</v>
      </c>
      <c r="D38" s="13" t="s">
        <v>72</v>
      </c>
      <c r="E38" s="32" t="s">
        <v>883</v>
      </c>
      <c r="F38" s="203" t="s">
        <v>884</v>
      </c>
      <c r="H38" s="36"/>
    </row>
    <row r="39" spans="1:8" s="1" customFormat="1" ht="114" x14ac:dyDescent="0.2">
      <c r="A39" s="19" t="s">
        <v>720</v>
      </c>
      <c r="B39" s="18" t="str">
        <f>VLOOKUP($A39,Questions!$A$2:$X$333,2,0)</f>
        <v>Do you have contractual agreements with third parties that require them to maintain standards and to comply with all regulatory requirements?*</v>
      </c>
      <c r="C39" s="21"/>
      <c r="D39" s="327"/>
      <c r="E39" s="22" t="str">
        <f>IF($C39="Yes",VLOOKUP($A39,Questions!$A$2:$X$333,17,0)&amp;"",IF($C39="No",VLOOKUP($A39,Questions!$A$2:$X$333,16,0)&amp;"",VLOOKUP($A39,Questions!$A$2:$X$333,15,0)&amp;""))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5" t="str">
        <f>VLOOKUP($A39,'Privacy Analyst Evaluation'!$A$46:$F$120,6,0)&amp;""</f>
        <v/>
      </c>
      <c r="H39" s="36"/>
    </row>
    <row r="40" spans="1:8" s="1" customFormat="1" ht="60.75" customHeight="1" thickBot="1" x14ac:dyDescent="0.25">
      <c r="A40" s="19" t="s">
        <v>722</v>
      </c>
      <c r="B40" s="18" t="str">
        <f>VLOOKUP($A40,Questions!$A$2:$X$333,2,0)</f>
        <v>Do you perform privacy impact assesments of third parties that collect, process, or have access to personal data to ensure they meet industry and regulatory standards and to mitigate harmful, unethical, or discriminatory impacts on data subjects?</v>
      </c>
      <c r="C40" s="21"/>
      <c r="D40" s="327"/>
      <c r="E40" s="22" t="str">
        <f>IF($C40="Yes",VLOOKUP($A40,Questions!$A$2:$X$333,17,0)&amp;"",IF($C40="No",VLOOKUP($A40,Questions!$A$2:$X$333,16,0)&amp;"",VLOOKUP($A40,Questions!$A$2:$X$333,15,0)&amp;""))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5" t="str">
        <f>VLOOKUP($A40,'Privacy Analyst Evaluation'!$A$46:$F$120,6,0)&amp;""</f>
        <v/>
      </c>
      <c r="G40" s="239" t="s">
        <v>1505</v>
      </c>
      <c r="H40" s="36"/>
    </row>
    <row r="41" spans="1:8" s="1" customFormat="1" ht="37.35" customHeight="1" thickBot="1" x14ac:dyDescent="0.25">
      <c r="A41" s="64" t="str">
        <f>VLOOKUP(LEFT($A42,4),'Auto Responses'!$N$4:$O$38,2,0)&amp;""</f>
        <v xml:space="preserve"> Privacy Change Management</v>
      </c>
      <c r="B41" s="23"/>
      <c r="C41" s="13" t="s">
        <v>1555</v>
      </c>
      <c r="D41" s="13" t="s">
        <v>72</v>
      </c>
      <c r="E41" s="32" t="s">
        <v>883</v>
      </c>
      <c r="F41" s="203" t="s">
        <v>884</v>
      </c>
      <c r="H41" s="36"/>
    </row>
    <row r="42" spans="1:8" s="1" customFormat="1" ht="75" customHeight="1" x14ac:dyDescent="0.2">
      <c r="A42" s="19" t="s">
        <v>723</v>
      </c>
      <c r="B42" s="18" t="str">
        <f>VLOOKUP($A42,Questions!$A$2:$X$333,2,0)</f>
        <v>Does your change management process include privacy review and approval?</v>
      </c>
      <c r="C42" s="21"/>
      <c r="D42" s="35"/>
      <c r="E42" s="22" t="str">
        <f>IF($C42="Yes",VLOOKUP($A42,Questions!$A$2:$X$333,17,0)&amp;"",IF($C42="No",VLOOKUP($A42,Questions!$A$2:$X$333,16,0)&amp;"",VLOOKUP($A42,Questions!$A$2:$X$333,15,0)&amp;""))</f>
        <v>The change management process minimizes disruption and maximizes benefits and should contain a privacy review process.</v>
      </c>
      <c r="F42" s="205" t="str">
        <f>VLOOKUP($A42,'Privacy Analyst Evaluation'!$A$46:$F$120,6,0)&amp;""</f>
        <v/>
      </c>
      <c r="H42" s="36"/>
    </row>
    <row r="43" spans="1:8" s="1" customFormat="1" ht="83.25" customHeight="1" thickBot="1" x14ac:dyDescent="0.25">
      <c r="A43" s="19" t="s">
        <v>725</v>
      </c>
      <c r="B43" s="18" t="str">
        <f>VLOOKUP($A43,Questions!$A$2:$X$333,2,0)</f>
        <v>Do you have policy and procedure, currently implemented, guiding how privacy risks are mitigated until they can be resolved?</v>
      </c>
      <c r="C43" s="21"/>
      <c r="D43" s="35"/>
      <c r="E43" s="22" t="str">
        <f>IF($C43="Yes",VLOOKUP($A43,Questions!$A$2:$X$333,17,0)&amp;"",IF($C43="No",VLOOKUP($A43,Questions!$A$2:$X$333,16,0)&amp;"",VLOOKUP($A43,Questions!$A$2:$X$333,15,0)&amp;""))</f>
        <v>Policy and procedure should include specific steps to take in the process of mitigating privacy risks.</v>
      </c>
      <c r="F43" s="205" t="str">
        <f>VLOOKUP($A43,'Privacy Analyst Evaluation'!$A$46:$F$120,6,0)&amp;""</f>
        <v/>
      </c>
      <c r="G43" s="239" t="s">
        <v>1505</v>
      </c>
      <c r="H43" s="36"/>
    </row>
    <row r="44" spans="1:8" s="1" customFormat="1" ht="37.35" customHeight="1" thickBot="1" x14ac:dyDescent="0.25">
      <c r="A44" s="64" t="str">
        <f>VLOOKUP(LEFT($A45,4),'Auto Responses'!$N$4:$O$38,2,0)&amp;""</f>
        <v xml:space="preserve"> Privacy of Sensitive Data</v>
      </c>
      <c r="B44" s="23"/>
      <c r="C44" s="13" t="s">
        <v>1555</v>
      </c>
      <c r="D44" s="13" t="s">
        <v>72</v>
      </c>
      <c r="E44" s="32" t="s">
        <v>883</v>
      </c>
      <c r="F44" s="203" t="s">
        <v>884</v>
      </c>
      <c r="H44" s="36"/>
    </row>
    <row r="45" spans="1:8" s="1" customFormat="1" ht="84.75" customHeight="1" x14ac:dyDescent="0.2">
      <c r="A45" s="19" t="s">
        <v>727</v>
      </c>
      <c r="B45" s="18" t="str">
        <f>VLOOKUP($A45,Questions!$A$2:$X$333,2,0)</f>
        <v>Do you collect, process, or store demographic information?*</v>
      </c>
      <c r="C45" s="21"/>
      <c r="D45" s="317"/>
      <c r="E45" s="22" t="str">
        <f>IF($C45="Yes",VLOOKUP($A45,Questions!$A$2:$X$333,17,0)&amp;"",IF($C45="No",VLOOKUP($A45,Questions!$A$2:$X$333,16,0)&amp;"",VLOOKUP($A45,Questions!$A$2:$X$333,15,0)&amp;""))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5" t="str">
        <f>VLOOKUP($A45,'Privacy Analyst Evaluation'!$A$46:$F$120,6,0)&amp;""</f>
        <v/>
      </c>
      <c r="H45" s="36"/>
    </row>
    <row r="46" spans="1:8" s="1" customFormat="1" ht="213.75" x14ac:dyDescent="0.2">
      <c r="A46" s="19" t="s">
        <v>729</v>
      </c>
      <c r="B46" s="18" t="str">
        <f>VLOOKUP($A46,Questions!$A$2:$X$333,2,0)</f>
        <v>Do you capture or create genetic, biometric, or behaviometric information (e.g., facial recognition or fingerprints)?*</v>
      </c>
      <c r="C46" s="21"/>
      <c r="D46" s="327"/>
      <c r="E46" s="22" t="str">
        <f>IF($C46="Yes",VLOOKUP($A46,Questions!$A$2:$X$333,17,0)&amp;"",IF($C46="No",VLOOKUP($A46,Questions!$A$2:$X$333,16,0)&amp;"",VLOOKUP($A46,Questions!$A$2:$X$333,15,0)&amp;""))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5" t="str">
        <f>VLOOKUP($A46,'Privacy Analyst Evaluation'!$A$46:$F$120,6,0)&amp;""</f>
        <v/>
      </c>
      <c r="H46" s="36"/>
    </row>
    <row r="47" spans="1:8" s="1" customFormat="1" ht="60" customHeight="1" x14ac:dyDescent="0.2">
      <c r="A47" s="19" t="s">
        <v>731</v>
      </c>
      <c r="B47" s="18" t="str">
        <f>VLOOKUP($A47,Questions!$A$2:$X$333,2,0)</f>
        <v>Do you combine institutional data (including "de-identified," "anonymized," or otherwise masked data) with personal data from any other sources?*</v>
      </c>
      <c r="C47" s="21"/>
      <c r="D47" s="317"/>
      <c r="E47" s="22" t="str">
        <f>IF($C47="Yes",VLOOKUP($A47,Questions!$A$2:$X$333,17,0)&amp;"",IF($C47="No",VLOOKUP($A47,Questions!$A$2:$X$333,16,0)&amp;"",VLOOKUP($A47,Questions!$A$2:$X$333,15,0)&amp;""))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5" t="str">
        <f>VLOOKUP($A47,'Privacy Analyst Evaluation'!$A$46:$F$120,6,0)&amp;""</f>
        <v/>
      </c>
      <c r="H47" s="36"/>
    </row>
    <row r="48" spans="1:8" s="1" customFormat="1" ht="36" customHeight="1" x14ac:dyDescent="0.2">
      <c r="A48" s="19" t="s">
        <v>732</v>
      </c>
      <c r="B48" s="18" t="str">
        <f>VLOOKUP($A48,Questions!$A$2:$X$333,2,0)</f>
        <v>Is institutional data coming into or going out of the United States at any point during collection, processing, storage, or archiving?</v>
      </c>
      <c r="C48" s="21"/>
      <c r="D48" s="327"/>
      <c r="E48" s="22" t="str">
        <f>IF($C48="Yes",VLOOKUP($A48,Questions!$A$2:$X$333,17,0)&amp;"",IF($C48="No",VLOOKUP($A48,Questions!$A$2:$X$333,16,0)&amp;"",VLOOKUP($A48,Questions!$A$2:$X$333,15,0)&amp;""))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5" t="str">
        <f>VLOOKUP($A48,'Privacy Analyst Evaluation'!$A$46:$F$120,6,0)&amp;""</f>
        <v/>
      </c>
      <c r="H48" s="36"/>
    </row>
    <row r="49" spans="1:8" s="1" customFormat="1" ht="85.5" x14ac:dyDescent="0.2">
      <c r="A49" s="19" t="s">
        <v>733</v>
      </c>
      <c r="B49" s="18" t="str">
        <f>VLOOKUP($A49,Questions!$A$2:$X$333,2,0)</f>
        <v>Do you capture device information (e.g., IP address, MAC address)?</v>
      </c>
      <c r="C49" s="21"/>
      <c r="D49" s="360"/>
      <c r="E49" s="22" t="str">
        <f>IF($C49="Yes",VLOOKUP($A49,Questions!$A$2:$X$333,17,0)&amp;"",IF($C49="No",VLOOKUP($A49,Questions!$A$2:$X$333,16,0)&amp;"",VLOOKUP($A49,Questions!$A$2:$X$333,15,0)&amp;""))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5" t="str">
        <f>VLOOKUP($A49,'Privacy Analyst Evaluation'!$A$46:$F$120,6,0)&amp;""</f>
        <v/>
      </c>
      <c r="H49" s="36"/>
    </row>
    <row r="50" spans="1:8" s="1" customFormat="1" ht="42.75" x14ac:dyDescent="0.2">
      <c r="A50" s="19" t="s">
        <v>734</v>
      </c>
      <c r="B50" s="18" t="str">
        <f>VLOOKUP($A50,Questions!$A$2:$X$333,2,0)</f>
        <v>Does any part of this service/project involve a web/app tracking component (e.g., use of web-tracking pixels, cookies)?</v>
      </c>
      <c r="C50" s="356"/>
      <c r="D50" s="360"/>
      <c r="E50" s="22" t="str">
        <f>IF($C50="Yes",VLOOKUP($A50,Questions!$A$2:$X$333,17,0)&amp;"",IF($C50="No",VLOOKUP($A50,Questions!$A$2:$X$333,16,0)&amp;"",VLOOKUP($A50,Questions!$A$2:$X$333,15,0)&amp;""))</f>
        <v>Web tracking can be used to identify users via their IP address, login information, browser information, etc.</v>
      </c>
      <c r="F50" s="205" t="str">
        <f>VLOOKUP($A50,'Privacy Analyst Evaluation'!$A$46:$F$120,6,0)&amp;""</f>
        <v/>
      </c>
      <c r="H50" s="36"/>
    </row>
    <row r="51" spans="1:8" s="1" customFormat="1" ht="44.25" customHeight="1" x14ac:dyDescent="0.2">
      <c r="A51" s="19" t="s">
        <v>735</v>
      </c>
      <c r="B51" s="18" t="str">
        <f>VLOOKUP($A51,Questions!$A$2:$X$333,2,0)</f>
        <v>Does your staff (or a third party) have access to institutional data (e.g., financial, PHI, or other sensitive information) through any means?</v>
      </c>
      <c r="C51" s="21"/>
      <c r="D51" s="317"/>
      <c r="E51" s="22" t="str">
        <f>IF($C51="Yes",VLOOKUP($A51,Questions!$A$2:$X$333,17,0)&amp;"",IF($C51="No",VLOOKUP($A51,Questions!$A$2:$X$333,16,0)&amp;"",VLOOKUP($A51,Questions!$A$2:$X$333,15,0)&amp;""))</f>
        <v>Accessing institutional data may be necessary for legitimate business purposes.</v>
      </c>
      <c r="F51" s="205" t="str">
        <f>VLOOKUP($A51,'Privacy Analyst Evaluation'!$A$46:$F$120,6,0)&amp;""</f>
        <v/>
      </c>
      <c r="H51" s="36"/>
    </row>
    <row r="52" spans="1:8" s="1" customFormat="1" ht="52.5" customHeight="1" thickBot="1" x14ac:dyDescent="0.25">
      <c r="A52" s="19" t="s">
        <v>737</v>
      </c>
      <c r="B52" s="18" t="str">
        <f>VLOOKUP($A52,Questions!$A$2:$X$333,2,0)</f>
        <v>Will you handle personal data in a manner compliant with all relevant laws, regulations, and applicable institution policies?</v>
      </c>
      <c r="C52" s="21"/>
      <c r="D52" s="327"/>
      <c r="E52" s="22" t="str">
        <f>IF($C52="Yes",VLOOKUP($A52,Questions!$A$2:$X$333,17,0)&amp;"",IF($C52="No",VLOOKUP($A52,Questions!$A$2:$X$333,16,0)&amp;"",VLOOKUP($A52,Questions!$A$2:$X$333,15,0)&amp;""))</f>
        <v/>
      </c>
      <c r="F52" s="205" t="str">
        <f>VLOOKUP($A52,'Privacy Analyst Evaluation'!$A$46:$F$120,6,0)&amp;""</f>
        <v/>
      </c>
      <c r="G52" s="239" t="s">
        <v>1505</v>
      </c>
      <c r="H52" s="36"/>
    </row>
    <row r="53" spans="1:8" s="1" customFormat="1" ht="37.35" customHeight="1" thickBot="1" x14ac:dyDescent="0.25">
      <c r="A53" s="64" t="str">
        <f>VLOOKUP(LEFT($A54,4),'Auto Responses'!$N$4:$O$38,2,0)&amp;""</f>
        <v xml:space="preserve"> Privacy Policies and Procedures</v>
      </c>
      <c r="B53" s="23"/>
      <c r="C53" s="13" t="s">
        <v>1555</v>
      </c>
      <c r="D53" s="13" t="s">
        <v>72</v>
      </c>
      <c r="E53" s="32" t="s">
        <v>883</v>
      </c>
      <c r="F53" s="203" t="s">
        <v>884</v>
      </c>
      <c r="H53" s="36"/>
    </row>
    <row r="54" spans="1:8" s="1" customFormat="1" ht="74.25" customHeight="1" x14ac:dyDescent="0.2">
      <c r="A54" s="19" t="s">
        <v>738</v>
      </c>
      <c r="B54" s="18" t="str">
        <f>VLOOKUP($A54,Questions!$A$2:$X$333,2,0)</f>
        <v>Do you have a documented privacy management process?</v>
      </c>
      <c r="C54" s="21"/>
      <c r="D54" s="317"/>
      <c r="E54" s="22" t="str">
        <f>IF($C54="Yes",VLOOKUP($A54,Questions!$A$2:$X$333,17,0)&amp;"",IF($C54="No",VLOOKUP($A54,Questions!$A$2:$X$333,16,0)&amp;"",VLOOKUP($A54,Questions!$A$2:$X$333,15,0)&amp;""))</f>
        <v/>
      </c>
      <c r="F54" s="205" t="str">
        <f>VLOOKUP($A54,'Privacy Analyst Evaluation'!$A$46:$F$120,6,0)&amp;""</f>
        <v/>
      </c>
      <c r="H54" s="36"/>
    </row>
    <row r="55" spans="1:8" s="1" customFormat="1" ht="40.5" customHeight="1" x14ac:dyDescent="0.2">
      <c r="A55" s="19" t="s">
        <v>741</v>
      </c>
      <c r="B55" s="18" t="str">
        <f>VLOOKUP($A55,Questions!$A$2:$X$333,2,0)</f>
        <v>Are privacy principles designed into the product lifecycle (i.e., privacy-by-design)?</v>
      </c>
      <c r="C55" s="21"/>
      <c r="D55" s="327"/>
      <c r="E55" s="22" t="str">
        <f>IF($C55="Yes",VLOOKUP($A55,Questions!$A$2:$X$333,17,0)&amp;"",IF($C55="No",VLOOKUP($A55,Questions!$A$2:$X$333,16,0)&amp;"",VLOOKUP($A55,Questions!$A$2:$X$333,15,0)&amp;""))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5" t="str">
        <f>VLOOKUP($A55,'Privacy Analyst Evaluation'!$A$46:$F$120,6,0)&amp;""</f>
        <v/>
      </c>
      <c r="H55" s="36"/>
    </row>
    <row r="56" spans="1:8" s="1" customFormat="1" ht="33" customHeight="1" x14ac:dyDescent="0.2">
      <c r="A56" s="19" t="s">
        <v>744</v>
      </c>
      <c r="B56" s="18" t="str">
        <f>VLOOKUP($A56,Questions!$A$2:$X$333,2,0)</f>
        <v>Will you comply with applicable breach notification laws?</v>
      </c>
      <c r="C56" s="21"/>
      <c r="D56" s="327"/>
      <c r="E56" s="22" t="str">
        <f>IF($C56="Yes",VLOOKUP($A56,Questions!$A$2:$X$333,17,0)&amp;"",IF($C56="No",VLOOKUP($A56,Questions!$A$2:$X$333,16,0)&amp;"",VLOOKUP($A56,Questions!$A$2:$X$333,15,0)&amp;""))</f>
        <v/>
      </c>
      <c r="F56" s="205" t="str">
        <f>VLOOKUP($A56,'Privacy Analyst Evaluation'!$A$46:$F$120,6,0)&amp;""</f>
        <v/>
      </c>
      <c r="H56" s="36"/>
    </row>
    <row r="57" spans="1:8" s="1" customFormat="1" ht="39.75" customHeight="1" x14ac:dyDescent="0.2">
      <c r="A57" s="19" t="s">
        <v>746</v>
      </c>
      <c r="B57" s="18" t="str">
        <f>VLOOKUP($A57,Questions!$A$2:$X$333,2,0)</f>
        <v>Will you comply with the institution's policies regarding user privacy and data protection?</v>
      </c>
      <c r="C57" s="21"/>
      <c r="D57" s="327"/>
      <c r="E57" s="22" t="str">
        <f>IF($C57="Yes",VLOOKUP($A57,Questions!$A$2:$X$333,17,0)&amp;"",IF($C57="No",VLOOKUP($A57,Questions!$A$2:$X$333,16,0)&amp;"",VLOOKUP($A57,Questions!$A$2:$X$333,15,0)&amp;""))</f>
        <v>These policies may include specific user consent practices, data classification standards, and handling of sensitive information.</v>
      </c>
      <c r="F57" s="205" t="str">
        <f>VLOOKUP($A57,'Privacy Analyst Evaluation'!$A$46:$F$120,6,0)&amp;""</f>
        <v/>
      </c>
      <c r="H57" s="36"/>
    </row>
    <row r="58" spans="1:8" s="1" customFormat="1" ht="38.25" customHeight="1" x14ac:dyDescent="0.2">
      <c r="A58" s="19" t="s">
        <v>748</v>
      </c>
      <c r="B58" s="18" t="str">
        <f>VLOOKUP($A58,Questions!$A$2:$X$333,2,0)</f>
        <v>Is your company subject to the laws and regulations of the institution's geographic region?</v>
      </c>
      <c r="C58" s="21"/>
      <c r="D58" s="327"/>
      <c r="E58" s="22" t="str">
        <f>IF($C58="Yes",VLOOKUP($A58,Questions!$A$2:$X$333,17,0)&amp;"",IF($C58="No",VLOOKUP($A58,Questions!$A$2:$X$333,16,0)&amp;"",VLOOKUP($A58,Questions!$A$2:$X$333,15,0)&amp;""))</f>
        <v>Indicates whether your organization is legally bound by state, federal, or local laws where the institution operates.</v>
      </c>
      <c r="F58" s="205" t="str">
        <f>VLOOKUP($A58,'Privacy Analyst Evaluation'!$A$46:$F$120,6,0)&amp;""</f>
        <v/>
      </c>
      <c r="H58" s="36"/>
    </row>
    <row r="59" spans="1:8" s="1" customFormat="1" ht="65.25" customHeight="1" x14ac:dyDescent="0.2">
      <c r="A59" s="19" t="s">
        <v>750</v>
      </c>
      <c r="B59" s="18" t="str">
        <f>VLOOKUP($A59,Questions!$A$2:$X$333,2,0)</f>
        <v>Do you have a privacy awareness/training program?*</v>
      </c>
      <c r="C59" s="21"/>
      <c r="D59" s="317"/>
      <c r="E59" s="22" t="str">
        <f>IF($C59="Yes",VLOOKUP($A59,Questions!$A$2:$X$333,17,0)&amp;"",IF($C59="No",VLOOKUP($A59,Questions!$A$2:$X$333,16,0)&amp;"",VLOOKUP($A59,Questions!$A$2:$X$333,15,0)&amp;""))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5" t="str">
        <f>VLOOKUP($A59,'Privacy Analyst Evaluation'!$A$46:$F$120,6,0)&amp;""</f>
        <v/>
      </c>
      <c r="H59" s="36"/>
    </row>
    <row r="60" spans="1:8" s="1" customFormat="1" ht="57.75" customHeight="1" x14ac:dyDescent="0.2">
      <c r="A60" s="19" t="s">
        <v>751</v>
      </c>
      <c r="B60" s="18" t="str">
        <f>VLOOKUP($A60,Questions!$A$2:$X$333,2,0)</f>
        <v>Is privacy awareness training mandatory for all employees?</v>
      </c>
      <c r="C60" s="21"/>
      <c r="D60" s="317"/>
      <c r="E60" s="22" t="str">
        <f>IF($C60="Yes",VLOOKUP($A60,Questions!$A$2:$X$333,17,0)&amp;"",IF($C60="No",VLOOKUP($A60,Questions!$A$2:$X$333,16,0)&amp;"",VLOOKUP($A60,Questions!$A$2:$X$333,15,0)&amp;""))</f>
        <v/>
      </c>
      <c r="F60" s="205" t="str">
        <f>VLOOKUP($A60,'Privacy Analyst Evaluation'!$A$46:$F$120,6,0)&amp;""</f>
        <v/>
      </c>
      <c r="H60" s="36"/>
    </row>
    <row r="61" spans="1:8" s="1" customFormat="1" ht="39.75" customHeight="1" x14ac:dyDescent="0.2">
      <c r="A61" s="19" t="s">
        <v>754</v>
      </c>
      <c r="B61" s="18" t="str">
        <f>VLOOKUP($A61,Questions!$A$2:$X$333,2,0)</f>
        <v>Is AI privacy and ethics awareness/training required for all employees who work with AI?</v>
      </c>
      <c r="C61" s="21"/>
      <c r="D61" s="317"/>
      <c r="E61" s="22" t="str">
        <f>IF($C61="Yes",VLOOKUP($A61,Questions!$A$2:$X$333,17,0)&amp;"",IF($C61="No",VLOOKUP($A61,Questions!$A$2:$X$333,16,0)&amp;"",IF($C61="N/A",VLOOKUP($A61,Questions!$A$2:$X$333,18,0)&amp;"",VLOOKUP($A61,Questions!$A$2:$X$333,15,0)&amp;"")))</f>
        <v/>
      </c>
      <c r="F61" s="205" t="str">
        <f>VLOOKUP($A61,'Privacy Analyst Evaluation'!$A$46:$F$120,6,0)&amp;""</f>
        <v/>
      </c>
      <c r="H61" s="36"/>
    </row>
    <row r="62" spans="1:8" s="1" customFormat="1" ht="39.75" customHeight="1" x14ac:dyDescent="0.2">
      <c r="A62" s="19" t="s">
        <v>757</v>
      </c>
      <c r="B62" s="18" t="str">
        <f>VLOOKUP($A62,Questions!$A$2:$X$333,2,0)</f>
        <v>Do you have any decision-making processes that are completely automated (i.e., there is no human involvement)?</v>
      </c>
      <c r="C62" s="21"/>
      <c r="D62" s="327"/>
      <c r="E62" s="22" t="str">
        <f>IF($C62="Yes",VLOOKUP($A62,Questions!$A$2:$X$333,17,0)&amp;"",IF($C62="No",VLOOKUP($A62,Questions!$A$2:$X$333,16,0)&amp;"",VLOOKUP($A62,Questions!$A$2:$X$333,15,0)&amp;""))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5" t="str">
        <f>VLOOKUP($A62,'Privacy Analyst Evaluation'!$A$46:$F$120,6,0)&amp;""</f>
        <v/>
      </c>
      <c r="H62" s="36"/>
    </row>
    <row r="63" spans="1:8" s="1" customFormat="1" ht="54" customHeight="1" x14ac:dyDescent="0.2">
      <c r="A63" s="19" t="s">
        <v>758</v>
      </c>
      <c r="B63" s="18" t="str">
        <f>VLOOKUP($A63,Questions!$A$2:$X$333,2,0)</f>
        <v>Do you have a documented process for managing automated processing, including validations, monitoring, and data subject requests?</v>
      </c>
      <c r="C63" s="21"/>
      <c r="D63" s="327"/>
      <c r="E63" s="22" t="str">
        <f>IF($C63="Yes",VLOOKUP($A63,Questions!$A$2:$X$333,17,0)&amp;"",IF($C63="No",VLOOKUP($A63,Questions!$A$2:$X$333,16,0)&amp;"",VLOOKUP($A63,Questions!$A$2:$X$333,15,0)&amp;""))</f>
        <v/>
      </c>
      <c r="F63" s="205" t="str">
        <f>VLOOKUP($A63,'Privacy Analyst Evaluation'!$A$46:$F$120,6,0)&amp;""</f>
        <v/>
      </c>
      <c r="H63" s="36"/>
    </row>
    <row r="64" spans="1:8" s="1" customFormat="1" ht="40.5" customHeight="1" x14ac:dyDescent="0.2">
      <c r="A64" s="19" t="s">
        <v>760</v>
      </c>
      <c r="B64" s="18" t="str">
        <f>VLOOKUP($A64,Questions!$A$2:$X$333,2,0)</f>
        <v>Do you have a documented policy for sharing information with law enforcement?</v>
      </c>
      <c r="C64" s="21"/>
      <c r="D64" s="327"/>
      <c r="E64" s="22" t="str">
        <f>IF($C64="Yes",VLOOKUP($A64,Questions!$A$2:$X$333,17,0)&amp;"",IF($C64="No",VLOOKUP($A64,Questions!$A$2:$X$333,16,0)&amp;"",VLOOKUP($A64,Questions!$A$2:$X$333,15,0)&amp;""))</f>
        <v/>
      </c>
      <c r="F64" s="205" t="str">
        <f>VLOOKUP($A64,'Privacy Analyst Evaluation'!$A$46:$F$120,6,0)&amp;""</f>
        <v/>
      </c>
      <c r="H64" s="36"/>
    </row>
    <row r="65" spans="1:8" s="1" customFormat="1" ht="39.75" customHeight="1" x14ac:dyDescent="0.2">
      <c r="A65" s="19" t="s">
        <v>763</v>
      </c>
      <c r="B65" s="18" t="str">
        <f>VLOOKUP($A65,Questions!$A$2:$X$333,2,0)</f>
        <v>Do you share any institutional data with law enforcement without a valid warrant or subpoena?*</v>
      </c>
      <c r="C65" s="21"/>
      <c r="D65" s="327"/>
      <c r="E65" s="22" t="str">
        <f>IF($C65="Yes",VLOOKUP($A65,Questions!$A$2:$X$333,17,0)&amp;"",IF($C65="No",VLOOKUP($A65,Questions!$A$2:$X$333,16,0)&amp;"",VLOOKUP($A65,Questions!$A$2:$X$333,15,0)&amp;""))</f>
        <v/>
      </c>
      <c r="F65" s="205" t="str">
        <f>VLOOKUP($A65,'Privacy Analyst Evaluation'!$A$46:$F$120,6,0)&amp;""</f>
        <v/>
      </c>
      <c r="H65" s="36"/>
    </row>
    <row r="66" spans="1:8" s="1" customFormat="1" ht="26.25" customHeight="1" thickBot="1" x14ac:dyDescent="0.25">
      <c r="A66" s="19" t="s">
        <v>764</v>
      </c>
      <c r="B66" s="18" t="str">
        <f>VLOOKUP($A66,Questions!$A$2:$X$333,2,0)</f>
        <v>Does your incident response team include a privacy analyst/officer?</v>
      </c>
      <c r="C66" s="21"/>
      <c r="D66" s="327"/>
      <c r="E66" s="22" t="str">
        <f>IF($C66="Yes",VLOOKUP($A66,Questions!$A$2:$X$333,17,0)&amp;"",IF($C66="No",VLOOKUP($A66,Questions!$A$2:$X$333,16,0)&amp;"",VLOOKUP($A66,Questions!$A$2:$X$333,15,0)&amp;""))</f>
        <v>Provide an overview of your incident response team membership and its charge, highlighting the privacy analyst/officer.</v>
      </c>
      <c r="F66" s="205" t="str">
        <f>VLOOKUP($A66,'Privacy Analyst Evaluation'!$A$46:$F$120,6,0)&amp;""</f>
        <v/>
      </c>
      <c r="G66" s="239" t="s">
        <v>1505</v>
      </c>
      <c r="H66" s="36"/>
    </row>
    <row r="67" spans="1:8" s="1" customFormat="1" ht="37.35" customHeight="1" thickBot="1" x14ac:dyDescent="0.25">
      <c r="A67" s="64" t="str">
        <f>VLOOKUP(LEFT($A68,4),'Auto Responses'!$N$4:$O$38,2,0)&amp;""</f>
        <v xml:space="preserve"> International Privacy</v>
      </c>
      <c r="B67" s="23"/>
      <c r="C67" s="13" t="s">
        <v>1555</v>
      </c>
      <c r="D67" s="13" t="s">
        <v>72</v>
      </c>
      <c r="E67" s="32" t="s">
        <v>883</v>
      </c>
      <c r="F67" s="203" t="s">
        <v>884</v>
      </c>
      <c r="H67" s="36"/>
    </row>
    <row r="68" spans="1:8" s="1" customFormat="1" ht="42.75" customHeight="1" x14ac:dyDescent="0.2">
      <c r="A68" s="19" t="s">
        <v>766</v>
      </c>
      <c r="B68" s="18" t="str">
        <f>VLOOKUP($A68,Questions!$A$2:$X$333,2,0)</f>
        <v>Will data be collected from or processed in or stored in the European Economic Area (EEA)?</v>
      </c>
      <c r="C68" s="21"/>
      <c r="D68" s="327"/>
      <c r="E68" s="22" t="str">
        <f>IF($C68="Yes",VLOOKUP($A68,Questions!$A$2:$X$333,17,0)&amp;"",IF($C68="No",VLOOKUP($A68,Questions!$A$2:$X$333,16,0)&amp;"",VLOOKUP($A68,Questions!$A$2:$X$333,15,0)&amp;""))</f>
        <v>See GDPR Chapter 1, Art. 4, for definitions.</v>
      </c>
      <c r="F68" s="205" t="str">
        <f>VLOOKUP($A68,'Privacy Analyst Evaluation'!$A$46:$F$120,6,0)&amp;""</f>
        <v/>
      </c>
      <c r="H68" s="36"/>
    </row>
    <row r="69" spans="1:8" s="1" customFormat="1" ht="28.5" customHeight="1" x14ac:dyDescent="0.2">
      <c r="A69" s="19" t="s">
        <v>769</v>
      </c>
      <c r="B69" s="18" t="str">
        <f>VLOOKUP($A69,Questions!$A$2:$X$333,2,0)</f>
        <v>Do you have a data protection officer (DPO)?</v>
      </c>
      <c r="C69" s="21"/>
      <c r="D69" s="327"/>
      <c r="E69" s="22" t="str">
        <f>IF($C69="Yes",VLOOKUP($A69,Questions!$A$2:$X$333,17,0)&amp;"",IF($C69="No",VLOOKUP($A69,Questions!$A$2:$X$333,16,0)&amp;"",VLOOKUP($A69,Questions!$A$2:$X$333,15,0)&amp;""))</f>
        <v>See GDPR Chapter 4, Section 4, for DPO information.</v>
      </c>
      <c r="F69" s="205" t="str">
        <f>VLOOKUP($A69,'Privacy Analyst Evaluation'!$A$46:$F$120,6,0)&amp;""</f>
        <v/>
      </c>
      <c r="H69" s="36"/>
    </row>
    <row r="70" spans="1:8" s="1" customFormat="1" ht="38.25" customHeight="1" x14ac:dyDescent="0.2">
      <c r="A70" s="19" t="s">
        <v>771</v>
      </c>
      <c r="B70" s="18" t="str">
        <f>VLOOKUP($A70,Questions!$A$2:$X$333,2,0)</f>
        <v>Will you sign appropriate GDPR Standard Contractual Clauses (SCCs) with the institution?</v>
      </c>
      <c r="C70" s="21"/>
      <c r="D70" s="327"/>
      <c r="E70" s="22" t="str">
        <f>IF($C70="Yes",VLOOKUP($A70,Questions!$A$2:$X$333,17,0)&amp;"",IF($C70="No",VLOOKUP($A70,Questions!$A$2:$X$333,16,0)&amp;"",VLOOKUP($A70,Questions!$A$2:$X$333,15,0)&amp;""))</f>
        <v>See GDPR Chapter 5, Art. 46, for SCC information.</v>
      </c>
      <c r="F70" s="205" t="str">
        <f>VLOOKUP($A70,'Privacy Analyst Evaluation'!$A$46:$F$120,6,0)&amp;""</f>
        <v/>
      </c>
      <c r="H70" s="36"/>
    </row>
    <row r="71" spans="1:8" s="1" customFormat="1" ht="25.5" customHeight="1" x14ac:dyDescent="0.2">
      <c r="A71" s="19" t="s">
        <v>773</v>
      </c>
      <c r="B71" s="18" t="str">
        <f>VLOOKUP($A71,Questions!$A$2:$X$333,2,0)</f>
        <v>Will data be collected from or processed in or stored in China?</v>
      </c>
      <c r="C71" s="21"/>
      <c r="D71" s="327"/>
      <c r="E71" s="22" t="str">
        <f>IF($C71="Yes",VLOOKUP($A71,Questions!$A$2:$X$333,17,0)&amp;"",IF($C71="No",VLOOKUP($A71,Questions!$A$2:$X$333,16,0)&amp;"",VLOOKUP($A71,Questions!$A$2:$X$333,15,0)&amp;""))</f>
        <v>See PIPL Chapter 1 for definitions.</v>
      </c>
      <c r="F71" s="205" t="str">
        <f>VLOOKUP($A71,'Privacy Analyst Evaluation'!$A$46:$F$120,6,0)&amp;""</f>
        <v/>
      </c>
      <c r="H71" s="36"/>
    </row>
    <row r="72" spans="1:8" s="1" customFormat="1" ht="43.5" customHeight="1" thickBot="1" x14ac:dyDescent="0.25">
      <c r="A72" s="19" t="s">
        <v>776</v>
      </c>
      <c r="B72" s="18" t="str">
        <f>VLOOKUP($A72,Questions!$A$2:$X$333,2,0)</f>
        <v>Do you comply with PIPL security, privacy, and data localization requirements?</v>
      </c>
      <c r="C72" s="21"/>
      <c r="D72" s="327"/>
      <c r="E72" s="22" t="str">
        <f>IF($C72="Yes",VLOOKUP($A72,Questions!$A$2:$X$333,17,0)&amp;"",IF($C72="No",VLOOKUP($A72,Questions!$A$2:$X$333,16,0)&amp;"",IF($C72="N/A",VLOOKUP($A72,Questions!$A$2:$X$333,18,0)&amp;"",VLOOKUP($A72,Questions!$A$2:$X$333,15,0)&amp;"")))</f>
        <v>See PIPL Chapter 5 for requirements.</v>
      </c>
      <c r="F72" s="205" t="str">
        <f>VLOOKUP($A72,'Privacy Analyst Evaluation'!$A$46:$F$120,6,0)&amp;""</f>
        <v/>
      </c>
      <c r="G72" s="239" t="s">
        <v>1505</v>
      </c>
      <c r="H72" s="36"/>
    </row>
    <row r="73" spans="1:8" s="1" customFormat="1" ht="37.35" customHeight="1" thickBot="1" x14ac:dyDescent="0.25">
      <c r="A73" s="64" t="str">
        <f>VLOOKUP(LEFT($A74,4),'Auto Responses'!$N$4:$O$38,2,0)&amp;""</f>
        <v xml:space="preserve"> Data Privacy</v>
      </c>
      <c r="B73" s="23"/>
      <c r="C73" s="13" t="s">
        <v>1555</v>
      </c>
      <c r="D73" s="13" t="s">
        <v>72</v>
      </c>
      <c r="E73" s="32" t="s">
        <v>883</v>
      </c>
      <c r="F73" s="203" t="s">
        <v>884</v>
      </c>
      <c r="H73" s="36"/>
    </row>
    <row r="74" spans="1:8" s="1" customFormat="1" ht="92.25" customHeight="1" x14ac:dyDescent="0.2">
      <c r="A74" s="19" t="s">
        <v>1071</v>
      </c>
      <c r="B74" s="18" t="str">
        <f>VLOOKUP($A74,Questions!$A$2:$X$333,2,0)</f>
        <v>Have you performed a Data Privacy Impact Assesssment for the solution/project?</v>
      </c>
      <c r="C74" s="21"/>
      <c r="D74" s="318"/>
      <c r="E74" s="22" t="str">
        <f>IF($C74="Yes",VLOOKUP($A74,Questions!$A$2:$X$333,17,0)&amp;"",IF($C74="No",VLOOKUP($A74,Questions!$A$2:$X$333,16,0)&amp;"",VLOOKUP($A74,Questions!$A$2:$X$333,15,0)&amp;""))</f>
        <v/>
      </c>
      <c r="F74" s="205" t="str">
        <f>VLOOKUP($A74,'Privacy Analyst Evaluation'!$A$46:$F$120,6,0)&amp;""</f>
        <v/>
      </c>
      <c r="H74" s="36"/>
    </row>
    <row r="75" spans="1:8" s="1" customFormat="1" ht="66.75" customHeight="1" x14ac:dyDescent="0.2">
      <c r="A75" s="19" t="s">
        <v>1072</v>
      </c>
      <c r="B75" s="18" t="str">
        <f>VLOOKUP($A75,Questions!$A$2:$X$333,2,0)</f>
        <v>Do you provide an end-user privacy notice about privacy policies and procedures that identify the purpose(s) for which personal information is collected, used, retained, and disclosed?</v>
      </c>
      <c r="C75" s="21"/>
      <c r="D75" s="317"/>
      <c r="E75" s="22" t="str">
        <f>IF($C75="Yes",VLOOKUP($A75,Questions!$A$2:$X$333,17,0)&amp;"",IF($C75="No",VLOOKUP($A75,Questions!$A$2:$X$333,16,0)&amp;"",VLOOKUP($A75,Questions!$A$2:$X$333,15,0)&amp;""))</f>
        <v/>
      </c>
      <c r="F75" s="205" t="str">
        <f>VLOOKUP($A75,'Privacy Analyst Evaluation'!$A$46:$F$120,6,0)&amp;""</f>
        <v/>
      </c>
      <c r="H75" s="36"/>
    </row>
    <row r="76" spans="1:8" s="1" customFormat="1" ht="54" customHeight="1" x14ac:dyDescent="0.2">
      <c r="A76" s="19" t="s">
        <v>1073</v>
      </c>
      <c r="B76" s="18" t="str">
        <f>VLOOKUP($A76,Questions!$A$2:$X$333,2,0)</f>
        <v>Do you describe the choices available to the individual and obtain implicit or explicit consent with respect to the collection, use, and disclosure of personal information?</v>
      </c>
      <c r="C76" s="21"/>
      <c r="D76" s="317"/>
      <c r="E76" s="22" t="str">
        <f>IF($C76="Yes",VLOOKUP($A76,Questions!$A$2:$X$333,17,0)&amp;"",IF($C76="No",VLOOKUP($A76,Questions!$A$2:$X$333,16,0)&amp;"",IF($C76="N/A",VLOOKUP($A76,Questions!$A$2:$X$333,18,0)&amp;"",VLOOKUP($A76,Questions!$A$2:$X$333,15,0)&amp;"")))</f>
        <v/>
      </c>
      <c r="F76" s="205" t="str">
        <f>VLOOKUP($A76,'Privacy Analyst Evaluation'!$A$46:$F$120,6,0)&amp;""</f>
        <v/>
      </c>
      <c r="H76" s="36"/>
    </row>
    <row r="77" spans="1:8" s="1" customFormat="1" ht="57" customHeight="1" x14ac:dyDescent="0.2">
      <c r="A77" s="19" t="s">
        <v>1074</v>
      </c>
      <c r="B77" s="18" t="str">
        <f>VLOOKUP($A77,Questions!$A$2:$X$333,2,0)</f>
        <v>Do you collect personal information only for the purpose(s) identified in the agreement with an institution or, if there is none, the purpose(s) identified in the privacy notice?</v>
      </c>
      <c r="C77" s="21"/>
      <c r="D77" s="327"/>
      <c r="E77" s="22" t="str">
        <f>IF($C77="Yes",VLOOKUP($A77,Questions!$A$2:$X$333,17,0)&amp;"",IF($C77="No",VLOOKUP($A77,Questions!$A$2:$X$333,16,0)&amp;"",IF($C77="N/A",VLOOKUP($A77,Questions!$A$2:$X$333,18,0)&amp;"",VLOOKUP($A77,Questions!$A$2:$X$333,15,0)&amp;"")))</f>
        <v>This includes quality assurance, marketing and advertising, etc.</v>
      </c>
      <c r="F77" s="205" t="str">
        <f>VLOOKUP($A77,'Privacy Analyst Evaluation'!$A$46:$F$120,6,0)&amp;""</f>
        <v/>
      </c>
      <c r="H77" s="36"/>
    </row>
    <row r="78" spans="1:8" s="1" customFormat="1" ht="36" customHeight="1" x14ac:dyDescent="0.2">
      <c r="A78" s="19" t="s">
        <v>1075</v>
      </c>
      <c r="B78" s="18" t="str">
        <f>VLOOKUP($A78,Questions!$A$2:$X$333,2,0)</f>
        <v>Do you have a documented list of personal data your service maintains?</v>
      </c>
      <c r="C78" s="21"/>
      <c r="D78" s="317"/>
      <c r="E78" s="22" t="str">
        <f>IF($C78="Yes",VLOOKUP($A78,Questions!$A$2:$X$333,17,0)&amp;"",IF($C78="No",VLOOKUP($A78,Questions!$A$2:$X$333,16,0)&amp;"",IF($C78="N/A",VLOOKUP($A78,Questions!$A$2:$X$333,18,0)&amp;"",VLOOKUP($A78,Questions!$A$2:$X$333,15,0)&amp;"")))</f>
        <v/>
      </c>
      <c r="F78" s="205" t="str">
        <f>VLOOKUP($A78,'Privacy Analyst Evaluation'!$A$46:$F$120,6,0)&amp;""</f>
        <v/>
      </c>
      <c r="H78" s="36"/>
    </row>
    <row r="79" spans="1:8" s="1" customFormat="1" ht="57.75" customHeight="1" x14ac:dyDescent="0.2">
      <c r="A79" s="19" t="s">
        <v>1076</v>
      </c>
      <c r="B79" s="18" t="str">
        <f>VLOOKUP($A79,Questions!$A$2:$X$333,2,0)</f>
        <v>Do you retain personal information for only as long as necessary to fulfill the stated purpose(s) or as required by law or regulation and thereafter appropriately dispose of such information?</v>
      </c>
      <c r="C79" s="21"/>
      <c r="D79" s="327"/>
      <c r="E79" s="22" t="str">
        <f>IF($C79="Yes",VLOOKUP($A79,Questions!$A$2:$X$333,17,0)&amp;"",IF($C79="No",VLOOKUP($A79,Questions!$A$2:$X$333,16,0)&amp;"",IF($C79="N/A",VLOOKUP($A79,Questions!$A$2:$X$333,18,0)&amp;"",VLOOKUP($A79,Questions!$A$2:$X$333,15,0)&amp;"")))</f>
        <v/>
      </c>
      <c r="F79" s="205" t="str">
        <f>VLOOKUP($A79,'Privacy Analyst Evaluation'!$A$46:$F$120,6,0)&amp;""</f>
        <v/>
      </c>
      <c r="H79" s="36"/>
    </row>
    <row r="80" spans="1:8" s="1" customFormat="1" ht="44.25" customHeight="1" x14ac:dyDescent="0.2">
      <c r="A80" s="19" t="s">
        <v>1077</v>
      </c>
      <c r="B80" s="18" t="str">
        <f>VLOOKUP($A80,Questions!$A$2:$X$333,2,0)</f>
        <v>Do you provide individuals with access to their personal information for review and update (i.e., data subject rights)?</v>
      </c>
      <c r="C80" s="21"/>
      <c r="D80" s="327"/>
      <c r="E80" s="22" t="str">
        <f>IF($C80="Yes",VLOOKUP($A80,Questions!$A$2:$X$333,17,0)&amp;"",IF($C80="No",VLOOKUP($A80,Questions!$A$2:$X$333,16,0)&amp;"",IF($C80="N/A",VLOOKUP($A80,Questions!$A$2:$X$333,18,0)&amp;"",VLOOKUP($A80,Questions!$A$2:$X$333,15,0)&amp;"")))</f>
        <v>Such processes would include descriptions of request processes individuals can follow to review thier information and written processes a data subject may use to ask for changes or corrections to data held about them.</v>
      </c>
      <c r="F80" s="205" t="str">
        <f>VLOOKUP($A80,'Privacy Analyst Evaluation'!$A$46:$F$120,6,0)&amp;""</f>
        <v/>
      </c>
      <c r="H80" s="36"/>
    </row>
    <row r="81" spans="1:8" s="1" customFormat="1" ht="70.5" customHeight="1" x14ac:dyDescent="0.2">
      <c r="A81" s="19" t="s">
        <v>1078</v>
      </c>
      <c r="B81" s="18" t="str">
        <f>VLOOKUP($A81,Questions!$A$2:$X$333,2,0)</f>
        <v>Do you disclose personal information to third parties only for the purpose(s) identified in the privacy notice or with the implicit or explicit consent of the individual?</v>
      </c>
      <c r="C81" s="21"/>
      <c r="D81" s="327"/>
      <c r="E81" s="22" t="str">
        <f>IF($C81="Yes",VLOOKUP($A81,Questions!$A$2:$X$333,17,0)&amp;"",IF($C81="No",VLOOKUP($A81,Questions!$A$2:$X$333,16,0)&amp;"",IF($C81="N/A",VLOOKUP($A81,Questions!$A$2:$X$333,18,0)&amp;"",VLOOKUP($A81,Questions!$A$2:$X$333,15,0)&amp;"")))</f>
        <v/>
      </c>
      <c r="F81" s="205" t="str">
        <f>VLOOKUP($A81,'Privacy Analyst Evaluation'!$A$46:$F$120,6,0)&amp;""</f>
        <v/>
      </c>
      <c r="H81" s="36"/>
    </row>
    <row r="82" spans="1:8" s="1" customFormat="1" ht="40.5" customHeight="1" x14ac:dyDescent="0.2">
      <c r="A82" s="19" t="s">
        <v>1079</v>
      </c>
      <c r="B82" s="18" t="str">
        <f>VLOOKUP($A82,Questions!$A$2:$X$333,2,0)</f>
        <v>Do you protect personal information against unauthorized access (both physical and logical)?</v>
      </c>
      <c r="C82" s="21"/>
      <c r="D82" s="327"/>
      <c r="E82" s="22" t="str">
        <f>IF($C82="Yes",VLOOKUP($A82,Questions!$A$2:$X$333,17,0)&amp;"",IF($C82="No",VLOOKUP($A82,Questions!$A$2:$X$333,16,0)&amp;"",IF($C82="N/A",VLOOKUP($A82,Questions!$A$2:$X$333,18,0)&amp;"",VLOOKUP($A82,Questions!$A$2:$X$333,15,0)&amp;"")))</f>
        <v/>
      </c>
      <c r="F82" s="205" t="str">
        <f>VLOOKUP($A82,'Privacy Analyst Evaluation'!$A$46:$F$120,6,0)&amp;""</f>
        <v/>
      </c>
      <c r="H82" s="36"/>
    </row>
    <row r="83" spans="1:8" s="1" customFormat="1" ht="49.5" customHeight="1" x14ac:dyDescent="0.2">
      <c r="A83" s="19" t="s">
        <v>1080</v>
      </c>
      <c r="B83" s="18" t="str">
        <f>VLOOKUP($A83,Questions!$A$2:$X$333,2,0)</f>
        <v>Do you maintain accurate, complete, and relevant personal information for the purposes identified in the privacy notice?</v>
      </c>
      <c r="C83" s="21"/>
      <c r="D83" s="327"/>
      <c r="E83" s="22" t="str">
        <f>IF($C83="Yes",VLOOKUP($A83,Questions!$A$2:$X$333,17,0)&amp;"",IF($C83="No",VLOOKUP($A83,Questions!$A$2:$X$333,16,0)&amp;"",IF($C83="N/A",VLOOKUP($A83,Questions!$A$2:$X$333,18,0)&amp;"",VLOOKUP($A83,Questions!$A$2:$X$333,15,0)&amp;"")))</f>
        <v/>
      </c>
      <c r="F83" s="205" t="str">
        <f>VLOOKUP($A83,'Privacy Analyst Evaluation'!$A$46:$F$120,6,0)&amp;""</f>
        <v/>
      </c>
      <c r="H83" s="36"/>
    </row>
    <row r="84" spans="1:8" s="1" customFormat="1" ht="46.5" customHeight="1" x14ac:dyDescent="0.2">
      <c r="A84" s="19" t="s">
        <v>1081</v>
      </c>
      <c r="B84" s="18" t="str">
        <f>VLOOKUP($A84,Questions!$A$2:$X$333,2,0)</f>
        <v>Do you have procedures to address privacy-related noncompliance complaints and disputes?</v>
      </c>
      <c r="C84" s="21"/>
      <c r="D84" s="327"/>
      <c r="E84" s="22" t="str">
        <f>IF($C84="Yes",VLOOKUP($A84,Questions!$A$2:$X$333,17,0)&amp;"",IF($C84="No",VLOOKUP($A84,Questions!$A$2:$X$333,16,0)&amp;"",IF($C84="N/A",VLOOKUP($A84,Questions!$A$2:$X$333,18,0)&amp;"",VLOOKUP($A84,Questions!$A$2:$X$333,15,0)&amp;"")))</f>
        <v/>
      </c>
      <c r="F84" s="205" t="str">
        <f>VLOOKUP($A84,'Privacy Analyst Evaluation'!$A$46:$F$120,6,0)&amp;""</f>
        <v/>
      </c>
      <c r="H84" s="36"/>
    </row>
    <row r="85" spans="1:8" s="1" customFormat="1" ht="45" customHeight="1" x14ac:dyDescent="0.2">
      <c r="A85" s="19" t="s">
        <v>1082</v>
      </c>
      <c r="B85" s="18" t="str">
        <f>VLOOKUP($A85,Questions!$A$2:$X$333,2,0)</f>
        <v>Do you "anonymize," "de-identify," or otherwise mask personal data?</v>
      </c>
      <c r="C85" s="21"/>
      <c r="D85" s="327"/>
      <c r="E85" s="22" t="str">
        <f>IF($C85="Yes",VLOOKUP($A85,Questions!$A$2:$X$333,17,0)&amp;"",IF($C85="No",VLOOKUP($A85,Questions!$A$2:$X$333,16,0)&amp;"",IF($C85="N/A",VLOOKUP($A85,Questions!$A$2:$X$333,18,0)&amp;"",VLOOKUP($A85,Questions!$A$2:$X$333,15,0)&amp;"")))</f>
        <v/>
      </c>
      <c r="F85" s="205" t="str">
        <f>VLOOKUP($A85,'Privacy Analyst Evaluation'!$A$46:$F$120,6,0)&amp;""</f>
        <v/>
      </c>
      <c r="H85" s="36"/>
    </row>
    <row r="86" spans="1:8" s="1" customFormat="1" ht="93" customHeight="1" x14ac:dyDescent="0.2">
      <c r="A86" s="19" t="s">
        <v>1083</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c r="D86" s="327"/>
      <c r="E86" s="22" t="str">
        <f>IF($C86="Yes",VLOOKUP($A86,Questions!$A$2:$X$333,17,0)&amp;"",IF($C86="No",VLOOKUP($A86,Questions!$A$2:$X$333,16,0)&amp;"",IF($C86="N/A",VLOOKUP($A86,Questions!$A$2:$X$333,18,0)&amp;"",VLOOKUP($A86,Questions!$A$2:$X$333,15,0)&amp;"")))</f>
        <v/>
      </c>
      <c r="F86" s="205" t="str">
        <f>VLOOKUP($A86,'Privacy Analyst Evaluation'!$A$46:$F$120,6,0)&amp;""</f>
        <v/>
      </c>
      <c r="H86" s="36"/>
    </row>
    <row r="87" spans="1:8" s="1" customFormat="1" ht="48" customHeight="1" x14ac:dyDescent="0.2">
      <c r="A87" s="19" t="s">
        <v>1084</v>
      </c>
      <c r="B87" s="18" t="str">
        <f>VLOOKUP($A87,Questions!$A$2:$X$333,2,0)</f>
        <v>Do you certify stop-processing requests, including any data that is processed by a third party on your behalf?</v>
      </c>
      <c r="C87" s="21"/>
      <c r="D87" s="327"/>
      <c r="E87" s="22" t="str">
        <f>IF($C87="Yes",VLOOKUP($A87,Questions!$A$2:$X$333,17,0)&amp;"",IF($C87="No",VLOOKUP($A87,Questions!$A$2:$X$333,16,0)&amp;"",IF($C87="N/A",VLOOKUP($A87,Questions!$A$2:$X$333,18,0)&amp;"",VLOOKUP($A87,Questions!$A$2:$X$333,15,0)&amp;"")))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5" t="str">
        <f>VLOOKUP($A87,'Privacy Analyst Evaluation'!$A$46:$F$120,6,0)&amp;""</f>
        <v/>
      </c>
      <c r="H87" s="36"/>
    </row>
    <row r="88" spans="1:8" s="1" customFormat="1" ht="36.75" customHeight="1" thickBot="1" x14ac:dyDescent="0.25">
      <c r="A88" s="19" t="s">
        <v>1085</v>
      </c>
      <c r="B88" s="18" t="str">
        <f>VLOOKUP($A88,Questions!$A$2:$X$333,2,0)</f>
        <v>Do you have a process to review code for ethical considerations?</v>
      </c>
      <c r="C88" s="21"/>
      <c r="D88" s="327"/>
      <c r="E88" s="22" t="str">
        <f>IF($C88="Yes",VLOOKUP($A88,Questions!$A$2:$X$333,17,0)&amp;"",IF($C88="No",VLOOKUP($A88,Questions!$A$2:$X$333,16,0)&amp;"",VLOOKUP($A88,Questions!$A$2:$X$333,15,0)&amp;""))</f>
        <v/>
      </c>
      <c r="F88" s="205" t="str">
        <f>VLOOKUP($A88,'Privacy Analyst Evaluation'!$A$46:$F$120,6,0)&amp;""</f>
        <v/>
      </c>
      <c r="G88" s="239" t="s">
        <v>1505</v>
      </c>
      <c r="H88" s="36"/>
    </row>
    <row r="89" spans="1:8" s="1" customFormat="1" ht="37.35" customHeight="1" thickBot="1" x14ac:dyDescent="0.25">
      <c r="A89" s="64" t="str">
        <f>VLOOKUP(LEFT($A90,4),'Auto Responses'!$N$4:$O$38,2,0)&amp;""</f>
        <v xml:space="preserve"> Privacy and AI</v>
      </c>
      <c r="B89" s="23"/>
      <c r="C89" s="13" t="s">
        <v>1555</v>
      </c>
      <c r="D89" s="13" t="s">
        <v>72</v>
      </c>
      <c r="E89" s="32" t="s">
        <v>883</v>
      </c>
      <c r="F89" s="203" t="s">
        <v>884</v>
      </c>
      <c r="H89" s="36"/>
    </row>
    <row r="90" spans="1:8" s="1" customFormat="1" ht="57" x14ac:dyDescent="0.2">
      <c r="A90" s="19" t="s">
        <v>1086</v>
      </c>
      <c r="B90" s="18" t="str">
        <f>VLOOKUP($A90,Questions!$A$2:$X$333,2,0)</f>
        <v>Does your service use AI for the processing of institutional data?</v>
      </c>
      <c r="C90" s="21"/>
      <c r="D90" s="327"/>
      <c r="E90" s="22" t="str">
        <f>IF($C$19="No",'Auto Responses'!$A$6,IF($C90="Yes",VLOOKUP($A90,Questions!$A$2:$X$333,17,0)&amp;"",IF($C90="No",VLOOKUP($A90,Questions!$A$2:$X$333,16,0)&amp;"",VLOOKUP($A90,Questions!$A$2:$X$333,15,0)&amp;"")))</f>
        <v>Based on the response to REQU-04 on the "START HERE" tab, this question does not apply to this product or service.</v>
      </c>
      <c r="F90" s="205" t="str">
        <f>VLOOKUP($A90,'Privacy Analyst Evaluation'!$A$46:$F$120,6,0)&amp;""</f>
        <v/>
      </c>
      <c r="H90" s="36"/>
    </row>
    <row r="91" spans="1:8" s="1" customFormat="1" ht="57" x14ac:dyDescent="0.2">
      <c r="A91" s="19" t="s">
        <v>1087</v>
      </c>
      <c r="B91" s="18" t="str">
        <f>VLOOKUP($A91,Questions!$A$2:$X$333,2,0)</f>
        <v>Is any institutional data retained in AI processing?*</v>
      </c>
      <c r="C91" s="21"/>
      <c r="D91" s="327"/>
      <c r="E91" s="22" t="str">
        <f>IF($C$19="No",'Auto Responses'!$A$6,IF($C91="Yes",VLOOKUP($A91,Questions!$A$2:$X$333,17,0)&amp;"",IF($C91="No",VLOOKUP($A91,Questions!$A$2:$X$333,16,0)&amp;"",IF($C91="N/A",VLOOKUP($A91,Questions!$A$2:$X$333,18,0)&amp;"",VLOOKUP($A91,Questions!$A$2:$X$333,15,0)&amp;""))))</f>
        <v>Based on the response to REQU-04 on the "START HERE" tab, this question does not apply to this product or service.</v>
      </c>
      <c r="F91" s="205" t="str">
        <f>VLOOKUP($A91,'Privacy Analyst Evaluation'!$A$46:$F$120,6,0)&amp;""</f>
        <v/>
      </c>
      <c r="H91" s="36"/>
    </row>
    <row r="92" spans="1:8" s="1" customFormat="1" ht="55.5" customHeight="1" x14ac:dyDescent="0.2">
      <c r="A92" s="19" t="s">
        <v>787</v>
      </c>
      <c r="B92" s="18" t="str">
        <f>VLOOKUP($A92,Questions!$A$2:$X$333,2,0)</f>
        <v>Do you have agreements in place with third parties or subprocessors regarding the protection of customer data and use of AI?*</v>
      </c>
      <c r="C92" s="21"/>
      <c r="D92" s="327"/>
      <c r="E92" s="22" t="str">
        <f>IF($C$19="No",'Auto Responses'!$A$6,IF($C92="Yes",VLOOKUP($A92,Questions!$A$2:$X$333,17,0)&amp;"",IF($C92="No",VLOOKUP($A92,Questions!$A$2:$X$333,16,0)&amp;"",IF($C92="N/A",VLOOKUP($A92,Questions!$A$2:$X$333,18,0)&amp;"",VLOOKUP($A92,Questions!$A$2:$X$333,15,0)&amp;""))))</f>
        <v>Based on the response to REQU-04 on the "START HERE" tab, this question does not apply to this product or service.</v>
      </c>
      <c r="F92" s="205" t="str">
        <f>VLOOKUP($A92,'Privacy Analyst Evaluation'!$A$46:$F$120,6,0)&amp;""</f>
        <v/>
      </c>
      <c r="H92" s="36"/>
    </row>
    <row r="93" spans="1:8" s="1" customFormat="1" ht="32.25" customHeight="1" x14ac:dyDescent="0.2">
      <c r="A93" s="19" t="s">
        <v>789</v>
      </c>
      <c r="B93" s="18" t="str">
        <f>VLOOKUP($A93,Questions!$A$2:$X$333,2,0)</f>
        <v>Will institutional data be processed through a third party or subprocessor that also uses AI?</v>
      </c>
      <c r="C93" s="21"/>
      <c r="D93" s="327"/>
      <c r="E93" s="22" t="str">
        <f>IF($C$19="No",'Auto Responses'!$A$6,IF($C93="Yes",VLOOKUP($A93,Questions!$A$2:$X$333,17,0)&amp;"",IF($C93="No",VLOOKUP($A93,Questions!$A$2:$X$333,16,0)&amp;"",VLOOKUP($A93,Questions!$A$2:$X$333,15,0)&amp;"")))</f>
        <v>Based on the response to REQU-04 on the "START HERE" tab, this question does not apply to this product or service.</v>
      </c>
      <c r="F93" s="205" t="str">
        <f>VLOOKUP($A93,'Privacy Analyst Evaluation'!$A$46:$F$120,6,0)&amp;""</f>
        <v/>
      </c>
      <c r="H93" s="36"/>
    </row>
    <row r="94" spans="1:8" s="1" customFormat="1" ht="32.25" customHeight="1" x14ac:dyDescent="0.2">
      <c r="A94" s="19" t="s">
        <v>790</v>
      </c>
      <c r="B94" s="18" t="str">
        <f>VLOOKUP($A94,Questions!$A$2:$X$333,2,0)</f>
        <v>Is AI processing limited to fully licensed commercial enterprise AI services?</v>
      </c>
      <c r="C94" s="21"/>
      <c r="D94" s="327"/>
      <c r="E94" s="22" t="str">
        <f>IF($C$19="No",'Auto Responses'!$A$6,IF($C94="Yes",VLOOKUP($A94,Questions!$A$2:$X$333,17,0)&amp;"",IF($C94="No",VLOOKUP($A94,Questions!$A$2:$X$333,16,0)&amp;"",IF($C94="N/A",VLOOKUP($A94,Questions!$A$2:$X$333,18,0)&amp;"",VLOOKUP($A94,Questions!$A$2:$X$333,15,0)&amp;""))))</f>
        <v>Based on the response to REQU-04 on the "START HERE" tab, this question does not apply to this product or service.</v>
      </c>
      <c r="F94" s="205" t="str">
        <f>VLOOKUP($A94,'Privacy Analyst Evaluation'!$A$46:$F$120,6,0)&amp;""</f>
        <v/>
      </c>
      <c r="H94" s="36"/>
    </row>
    <row r="95" spans="1:8" s="1" customFormat="1" ht="32.25" customHeight="1" x14ac:dyDescent="0.2">
      <c r="A95" s="19" t="s">
        <v>792</v>
      </c>
      <c r="B95" s="18" t="str">
        <f>VLOOKUP($A95,Questions!$A$2:$X$333,2,0)</f>
        <v>Will institutional data be used or processed by any shared AI services?</v>
      </c>
      <c r="C95" s="21"/>
      <c r="D95" s="327"/>
      <c r="E95" s="22" t="str">
        <f>IF($C$19="No",'Auto Responses'!$A$6,IF($C95="Yes",VLOOKUP($A95,Questions!$A$2:$X$333,17,0)&amp;"",IF($C95="No",VLOOKUP($A95,Questions!$A$2:$X$333,16,0)&amp;"",VLOOKUP($A95,Questions!$A$2:$X$333,15,0)&amp;"")))</f>
        <v>Based on the response to REQU-04 on the "START HERE" tab, this question does not apply to this product or service.</v>
      </c>
      <c r="F95" s="205" t="str">
        <f>VLOOKUP($A95,'Privacy Analyst Evaluation'!$A$46:$F$120,6,0)&amp;""</f>
        <v/>
      </c>
      <c r="H95" s="36"/>
    </row>
    <row r="96" spans="1:8" s="1" customFormat="1" ht="32.25" customHeight="1" x14ac:dyDescent="0.2">
      <c r="A96" s="19" t="s">
        <v>793</v>
      </c>
      <c r="B96" s="18" t="str">
        <f>VLOOKUP($A96,Questions!$A$2:$X$333,2,0)</f>
        <v>Do you have safeguards in place to protect institutional data and data privacy from unintended AI queries or processing?</v>
      </c>
      <c r="C96" s="21"/>
      <c r="D96" s="327"/>
      <c r="E96" s="22" t="str">
        <f>IF($C$19="No",'Auto Responses'!$A$6,IF($C96="Yes",VLOOKUP($A96,Questions!$A$2:$X$333,17,0)&amp;"",IF($C96="No",VLOOKUP($A96,Questions!$A$2:$X$333,16,0)&amp;"",VLOOKUP($A96,Questions!$A$2:$X$333,15,0)&amp;"")))</f>
        <v>Based on the response to REQU-04 on the "START HERE" tab, this question does not apply to this product or service.</v>
      </c>
      <c r="F96" s="205" t="str">
        <f>VLOOKUP($A96,'Privacy Analyst Evaluation'!$A$46:$F$120,6,0)&amp;""</f>
        <v/>
      </c>
      <c r="H96" s="36"/>
    </row>
    <row r="97" spans="1:11" s="1" customFormat="1" ht="55.5" customHeight="1" x14ac:dyDescent="0.2">
      <c r="A97" s="19" t="s">
        <v>794</v>
      </c>
      <c r="B97" s="18" t="str">
        <f>VLOOKUP($A97,Questions!$A$2:$X$333,2,0)</f>
        <v>Do you provide choice to the user to opt out of AI use?</v>
      </c>
      <c r="C97" s="21"/>
      <c r="D97" s="327"/>
      <c r="E97" s="22" t="str">
        <f>IF($C$19="No",'Auto Responses'!$A$6,IF($C97="Yes",VLOOKUP($A97,Questions!$A$2:$X$333,17,0)&amp;"",IF($C97="No",VLOOKUP($A97,Questions!$A$2:$X$333,16,0)&amp;"",IF($C97="N/A",VLOOKUP($A97,Questions!$A$2:$X$333,18,0)&amp;"",VLOOKUP($A97,Questions!$A$2:$X$333,15,0)&amp;""))))</f>
        <v>Based on the response to REQU-04 on the "START HERE" tab, this question does not apply to this product or service.</v>
      </c>
      <c r="F97" s="205" t="str">
        <f>VLOOKUP($A97,'Privacy Analyst Evaluation'!$A$46:$F$120,6,0)&amp;""</f>
        <v/>
      </c>
      <c r="G97" s="239" t="s">
        <v>1505</v>
      </c>
      <c r="H97" s="36"/>
    </row>
    <row r="98" spans="1:11" s="1" customFormat="1" ht="44.25" customHeight="1" x14ac:dyDescent="0.2">
      <c r="A98" s="268" t="s">
        <v>1565</v>
      </c>
      <c r="C98" s="8"/>
      <c r="D98" s="9"/>
      <c r="E98" s="41"/>
      <c r="F98" s="197"/>
      <c r="H98" s="36"/>
    </row>
    <row r="99" spans="1:11" s="1" customFormat="1" ht="15" hidden="1" customHeight="1" x14ac:dyDescent="0.2">
      <c r="A99"/>
      <c r="C99" s="8"/>
      <c r="D99" s="9"/>
      <c r="E99" s="41"/>
      <c r="F99" s="197"/>
      <c r="H99" s="36"/>
    </row>
    <row r="100" spans="1:11" ht="15" hidden="1" customHeight="1" x14ac:dyDescent="0.2">
      <c r="A100" s="1"/>
      <c r="B100" s="8"/>
      <c r="C100" s="72"/>
      <c r="D100" s="10"/>
      <c r="E100" s="42"/>
      <c r="G100" s="36"/>
      <c r="H100" s="1"/>
      <c r="K100"/>
    </row>
    <row r="101" spans="1:11" ht="0" hidden="1" customHeight="1" x14ac:dyDescent="0.2">
      <c r="A101" s="19" t="e">
        <f>#REF!</f>
        <v>#REF!</v>
      </c>
    </row>
    <row r="102" spans="1:11" s="1" customFormat="1" ht="0" hidden="1" customHeight="1" x14ac:dyDescent="0.2">
      <c r="A102" s="19" t="e">
        <f>#REF!</f>
        <v>#REF!</v>
      </c>
      <c r="C102" s="8"/>
      <c r="D102" s="9"/>
      <c r="E102" s="41"/>
      <c r="F102" s="197"/>
      <c r="H102" s="36"/>
    </row>
    <row r="103" spans="1:11" s="1" customFormat="1" ht="0" hidden="1" customHeight="1" x14ac:dyDescent="0.2">
      <c r="A103" s="19" t="e">
        <f>#REF!</f>
        <v>#REF!</v>
      </c>
      <c r="C103" s="8"/>
      <c r="D103" s="9"/>
      <c r="E103" s="41"/>
      <c r="F103" s="197"/>
      <c r="H103" s="36"/>
    </row>
    <row r="104" spans="1:11" s="1" customFormat="1" ht="0" hidden="1" customHeight="1" x14ac:dyDescent="0.2">
      <c r="A104" s="19" t="e">
        <f>#REF!</f>
        <v>#REF!</v>
      </c>
      <c r="C104" s="8"/>
      <c r="D104" s="9"/>
      <c r="E104" s="41"/>
      <c r="F104" s="197"/>
      <c r="H104" s="36"/>
    </row>
    <row r="105" spans="1:11" s="1" customFormat="1" ht="0" hidden="1" customHeight="1" x14ac:dyDescent="0.2">
      <c r="A105" s="19" t="e">
        <f>#REF!</f>
        <v>#REF!</v>
      </c>
      <c r="C105" s="8"/>
      <c r="D105" s="9"/>
      <c r="E105" s="41"/>
      <c r="F105" s="197"/>
      <c r="H105" s="36"/>
    </row>
    <row r="106" spans="1:11" s="1" customFormat="1" ht="0" hidden="1" customHeight="1" x14ac:dyDescent="0.2">
      <c r="A106" s="19" t="e">
        <f>#REF!</f>
        <v>#REF!</v>
      </c>
      <c r="C106" s="8"/>
      <c r="D106" s="9"/>
      <c r="E106" s="41"/>
      <c r="F106" s="197"/>
      <c r="H106" s="36"/>
    </row>
    <row r="107" spans="1:11" s="1" customFormat="1" ht="0" hidden="1" customHeight="1" x14ac:dyDescent="0.2">
      <c r="A107" s="19" t="e">
        <f>#REF!</f>
        <v>#REF!</v>
      </c>
      <c r="C107" s="8"/>
      <c r="D107" s="9"/>
      <c r="E107" s="41"/>
      <c r="F107" s="197"/>
      <c r="H107" s="36"/>
    </row>
    <row r="108" spans="1:11" s="1" customFormat="1" ht="0" hidden="1" customHeight="1" x14ac:dyDescent="0.2">
      <c r="A108"/>
      <c r="C108" s="8"/>
      <c r="D108" s="9"/>
      <c r="E108" s="41"/>
      <c r="F108" s="197"/>
      <c r="H108" s="36"/>
    </row>
    <row r="109" spans="1:11" s="1" customFormat="1" ht="0" hidden="1" customHeight="1" x14ac:dyDescent="0.2">
      <c r="A109"/>
      <c r="C109" s="8"/>
      <c r="D109" s="9"/>
      <c r="E109" s="41"/>
      <c r="F109" s="197"/>
      <c r="H109" s="36"/>
    </row>
    <row r="110" spans="1:11" s="1" customFormat="1" ht="0" hidden="1" customHeight="1" x14ac:dyDescent="0.2">
      <c r="A110"/>
      <c r="C110" s="8"/>
      <c r="D110" s="9"/>
      <c r="E110" s="41"/>
      <c r="F110" s="197"/>
      <c r="H110" s="36"/>
    </row>
    <row r="111" spans="1:11" s="1" customFormat="1" ht="0" hidden="1" customHeight="1" x14ac:dyDescent="0.2">
      <c r="A111"/>
      <c r="C111" s="8"/>
      <c r="D111" s="9"/>
      <c r="E111" s="41"/>
      <c r="F111" s="197"/>
      <c r="H111" s="36"/>
    </row>
    <row r="112" spans="1:11" s="1" customFormat="1" ht="0" hidden="1" customHeight="1" x14ac:dyDescent="0.2">
      <c r="A112"/>
      <c r="C112" s="8"/>
      <c r="D112" s="9"/>
      <c r="E112" s="41"/>
      <c r="F112" s="197"/>
      <c r="H112" s="36"/>
    </row>
    <row r="113" spans="1:8" s="1" customFormat="1" ht="0" hidden="1" customHeight="1" x14ac:dyDescent="0.2">
      <c r="A113"/>
      <c r="C113" s="8"/>
      <c r="D113" s="9"/>
      <c r="E113" s="41"/>
      <c r="F113" s="197"/>
      <c r="H113" s="36"/>
    </row>
    <row r="114" spans="1:8" s="1" customFormat="1" ht="0" hidden="1" customHeight="1" x14ac:dyDescent="0.2">
      <c r="A114"/>
      <c r="C114" s="8"/>
      <c r="D114" s="9"/>
      <c r="E114" s="41"/>
      <c r="F114" s="197"/>
      <c r="H114" s="36"/>
    </row>
    <row r="115" spans="1:8" s="1" customFormat="1" ht="0" hidden="1" customHeight="1" x14ac:dyDescent="0.2">
      <c r="A115"/>
      <c r="C115" s="8"/>
      <c r="D115" s="9"/>
      <c r="E115" s="41"/>
      <c r="F115" s="197"/>
      <c r="H115" s="36"/>
    </row>
    <row r="116" spans="1:8" s="1" customFormat="1" ht="0" hidden="1" customHeight="1" x14ac:dyDescent="0.2">
      <c r="A116"/>
      <c r="C116" s="8"/>
      <c r="D116" s="9"/>
      <c r="E116" s="41"/>
      <c r="F116" s="197"/>
      <c r="H116" s="36"/>
    </row>
    <row r="117" spans="1:8" s="1" customFormat="1" ht="0" hidden="1" customHeight="1" x14ac:dyDescent="0.2">
      <c r="A117"/>
      <c r="C117" s="8"/>
      <c r="D117" s="9"/>
      <c r="E117" s="41"/>
      <c r="F117" s="197"/>
      <c r="H117" s="36"/>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D33 D35:D37 D42:D43"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C88 C68:C71 C36:C37 C90 C42:C43 C24:C27 C39:C40 C30 C32:C33 C95:C96 C93 C54:C66 C74:C75 C45:C49 C51:C52</xm:sqref>
        </x14:dataValidation>
        <x14:dataValidation type="list" allowBlank="1" showInputMessage="1" showErrorMessage="1" xr:uid="{A7CD7EA2-4712-436A-ABAD-79A46B9B4A1C}">
          <x14:formula1>
            <xm:f>'Auto Responses'!$J$3:$J$5</xm:f>
          </x14:formula1>
          <xm:sqref>C35 C72 C91:C92 C94 C97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56" customWidth="1"/>
    <col min="2" max="2" width="57.59765625" style="56" customWidth="1"/>
    <col min="3" max="9" width="19.59765625" style="56" customWidth="1"/>
    <col min="10" max="10" width="18.796875" style="56" customWidth="1"/>
    <col min="11" max="11" width="0.19921875" style="56" customWidth="1"/>
    <col min="12" max="12" width="8.5" style="56" customWidth="1"/>
    <col min="13" max="13" width="0" style="56" hidden="1" customWidth="1"/>
    <col min="14" max="16384" width="8.5" style="56" hidden="1"/>
  </cols>
  <sheetData>
    <row r="1" spans="1:10" ht="0" hidden="1" customHeight="1" x14ac:dyDescent="0.2">
      <c r="A1" s="56" t="s">
        <v>1507</v>
      </c>
    </row>
    <row r="2" spans="1:10" ht="36" customHeight="1" x14ac:dyDescent="0.2">
      <c r="A2" s="177" t="s">
        <v>1575</v>
      </c>
      <c r="B2" s="174"/>
      <c r="C2" s="174"/>
      <c r="D2" s="174"/>
      <c r="E2" s="174"/>
      <c r="F2" s="174"/>
      <c r="G2" s="174"/>
      <c r="H2" s="174"/>
      <c r="I2" s="207" t="str">
        <f>'Auto Responses'!$A$36</f>
        <v>Version 4.1.2</v>
      </c>
      <c r="J2" s="175"/>
    </row>
    <row r="3" spans="1:10" ht="25.5" customHeight="1" x14ac:dyDescent="0.2">
      <c r="A3" s="99"/>
      <c r="B3" s="99"/>
      <c r="C3" s="99"/>
      <c r="D3" s="99"/>
      <c r="E3" s="99"/>
      <c r="F3" s="99"/>
      <c r="G3" s="99"/>
      <c r="H3" s="99"/>
      <c r="I3" s="99"/>
      <c r="J3" s="99"/>
    </row>
    <row r="4" spans="1:10" ht="36" customHeight="1" x14ac:dyDescent="0.2">
      <c r="A4" s="100" t="s">
        <v>901</v>
      </c>
      <c r="B4" s="101"/>
      <c r="C4" s="101"/>
      <c r="D4" s="101"/>
      <c r="E4" s="101"/>
      <c r="F4" s="101"/>
      <c r="G4" s="101"/>
      <c r="H4" s="101"/>
      <c r="I4" s="101"/>
      <c r="J4" s="101"/>
    </row>
    <row r="5" spans="1:10" s="272" customFormat="1" ht="19.5" customHeight="1" x14ac:dyDescent="0.2">
      <c r="A5" s="252" t="str">
        <f>HLOOKUP($A$4,'Auto Responses'!$F$2:$F$7,2,0)&amp;""</f>
        <v>1. Upon initial review, you can check the "Non-Negotiable" box by any question to compile a report of questions that may prohibit a full review.</v>
      </c>
      <c r="B5" s="252"/>
      <c r="C5" s="252"/>
      <c r="D5" s="252"/>
      <c r="E5" s="252"/>
      <c r="F5" s="252"/>
      <c r="G5" s="252"/>
      <c r="H5" s="252"/>
      <c r="I5" s="252"/>
      <c r="J5" s="252"/>
    </row>
    <row r="6" spans="1:10" s="272" customFormat="1" ht="19.5" customHeight="1" x14ac:dyDescent="0.2">
      <c r="A6" s="252" t="str">
        <f>HLOOKUP($A$4,'Auto Responses'!$F$2:$F$7,3,0)&amp;""</f>
        <v>2. When evaluating an answer, a default importance level has been set. You can use the "Importance Override" dropdown to override the default and adjust the value of the question.</v>
      </c>
      <c r="B6" s="252"/>
      <c r="C6" s="252"/>
      <c r="D6" s="252"/>
      <c r="E6" s="252"/>
      <c r="F6" s="252"/>
      <c r="G6" s="252"/>
      <c r="H6" s="252"/>
      <c r="I6" s="252"/>
      <c r="J6" s="252"/>
    </row>
    <row r="7" spans="1:10" s="272" customFormat="1" ht="19.5" customHeight="1" x14ac:dyDescent="0.2">
      <c r="A7" s="252" t="str">
        <f>HLOOKUP($A$4,'Auto Responses'!$F$2:$F$7,4,0)&amp;""</f>
        <v>3. For questions that are qualitative or for which you disagree with the preferred response, make a selection in the "Compliant Override" dropdown to adjust the question's impact on the score.</v>
      </c>
      <c r="B7" s="252"/>
      <c r="C7" s="252"/>
      <c r="D7" s="252"/>
      <c r="E7" s="252"/>
      <c r="F7" s="252"/>
      <c r="G7" s="252"/>
      <c r="H7" s="252"/>
      <c r="I7" s="252"/>
      <c r="J7" s="252"/>
    </row>
    <row r="8" spans="1:10" s="272" customFormat="1" ht="19.5" customHeight="1" x14ac:dyDescent="0.2">
      <c r="A8" s="252" t="str">
        <f>HLOOKUP($A$4,'Auto Responses'!$F$2:$F$7,5,0)&amp;""</f>
        <v xml:space="preserve">4. Each worksheet shows a report for that section. See the "Analyst Report" sheet for a full report of all sections. </v>
      </c>
      <c r="B8" s="252"/>
      <c r="C8" s="252"/>
      <c r="D8" s="252"/>
      <c r="E8" s="252"/>
      <c r="F8" s="252"/>
      <c r="G8" s="252"/>
      <c r="H8" s="252"/>
      <c r="I8" s="252"/>
      <c r="J8" s="252"/>
    </row>
    <row r="9" spans="1:10" s="272" customFormat="1" ht="19.5" customHeight="1" x14ac:dyDescent="0.2">
      <c r="A9" s="252" t="str">
        <f>HLOOKUP($A$4,'Auto Responses'!$F$2:$F$7,6,0)&amp;""</f>
        <v xml:space="preserve">5. If you are evaluating a question that appears in an earlier section, the Importance and Compliant Override cannot be changed but additional notes can be added. </v>
      </c>
      <c r="B9" s="252"/>
      <c r="C9" s="252"/>
      <c r="D9" s="252"/>
      <c r="E9" s="252"/>
      <c r="F9" s="252"/>
      <c r="G9" s="252"/>
      <c r="H9" s="252"/>
      <c r="I9" s="252"/>
      <c r="J9" s="252"/>
    </row>
    <row r="10" spans="1:10" ht="19.5" customHeight="1" thickBot="1" x14ac:dyDescent="0.25">
      <c r="A10" s="253" t="str">
        <f>HLOOKUP($A$4,'Auto Responses'!$F$2:$F$8,7,0)&amp;""</f>
        <v>For full instructions, please visit EDUCAUSE.edu/HECVAT</v>
      </c>
      <c r="B10" s="62"/>
      <c r="C10" s="62"/>
      <c r="D10" s="62"/>
      <c r="E10" s="62"/>
      <c r="F10" s="62"/>
      <c r="G10" s="62"/>
      <c r="H10" s="62"/>
      <c r="I10" s="62"/>
      <c r="J10" s="62"/>
    </row>
    <row r="11" spans="1:10" s="90" customFormat="1" ht="25.5" customHeight="1" x14ac:dyDescent="0.2">
      <c r="A11" s="157" t="str">
        <f>'START HERE'!$B$13</f>
        <v>Solution Provider Name</v>
      </c>
      <c r="B11" s="143"/>
      <c r="C11" s="137" t="str">
        <f>VLOOKUP($A11,'START HERE'!$B$13:$C$21,2,0)&amp;""</f>
        <v>Indiana University</v>
      </c>
      <c r="D11" s="138"/>
      <c r="E11" s="212"/>
      <c r="F11" s="215"/>
      <c r="G11" s="91"/>
      <c r="H11" s="96"/>
      <c r="I11" s="91"/>
      <c r="J11" s="91"/>
    </row>
    <row r="12" spans="1:10" s="90" customFormat="1" ht="25.5" customHeight="1" x14ac:dyDescent="0.2">
      <c r="A12" s="158" t="str">
        <f>'START HERE'!$B$16</f>
        <v>Solution Provider Contact Name</v>
      </c>
      <c r="B12" s="144"/>
      <c r="C12" s="136" t="str">
        <f>VLOOKUP($A12,'START HERE'!$B$13:$C$21,2,0)&amp;""</f>
        <v>James Cole</v>
      </c>
      <c r="D12" s="98"/>
      <c r="E12" s="213"/>
      <c r="F12" s="215"/>
      <c r="G12" s="91"/>
      <c r="H12" s="96"/>
      <c r="I12" s="91"/>
      <c r="J12" s="91"/>
    </row>
    <row r="13" spans="1:10" s="90" customFormat="1" ht="25.5" customHeight="1" x14ac:dyDescent="0.2">
      <c r="A13" s="158" t="str">
        <f>'START HERE'!$B$17</f>
        <v>Solution Provider Contact Title</v>
      </c>
      <c r="B13" s="144"/>
      <c r="C13" s="136" t="str">
        <f>VLOOKUP($A13,'START HERE'!$B$13:$C$21,2,0)&amp;""</f>
        <v>NSSE Shorts Coordinator</v>
      </c>
      <c r="D13" s="98"/>
      <c r="E13" s="213"/>
      <c r="F13" s="215"/>
      <c r="G13" s="91"/>
      <c r="H13" s="96"/>
      <c r="I13" s="91"/>
      <c r="J13" s="91"/>
    </row>
    <row r="14" spans="1:10" s="90" customFormat="1" ht="25.5" customHeight="1" x14ac:dyDescent="0.2">
      <c r="A14" s="158" t="str">
        <f>'START HERE'!$B$18</f>
        <v>Solution Provider Contact Email</v>
      </c>
      <c r="B14" s="144"/>
      <c r="C14" s="136" t="str">
        <f>VLOOKUP($A14,'START HERE'!$B$13:$C$21,2,0)&amp;""</f>
        <v>nsseshrt@iu.edu</v>
      </c>
      <c r="D14" s="98"/>
      <c r="E14" s="213"/>
      <c r="F14" s="216"/>
      <c r="G14" s="135"/>
      <c r="H14" s="135"/>
      <c r="I14" s="135"/>
      <c r="J14" s="135"/>
    </row>
    <row r="15" spans="1:10" s="90" customFormat="1" ht="25.5" customHeight="1" x14ac:dyDescent="0.2">
      <c r="A15" s="158" t="str">
        <f>'START HERE'!$B$14</f>
        <v>Solution Name</v>
      </c>
      <c r="B15" s="144"/>
      <c r="C15" s="136" t="str">
        <f>VLOOKUP($A15,'START HERE'!$B$13:$C$21,2,0)&amp;""</f>
        <v>NSSE Shorts</v>
      </c>
      <c r="D15" s="98"/>
      <c r="E15" s="213"/>
      <c r="F15" s="216"/>
      <c r="G15" s="135"/>
      <c r="H15" s="135"/>
      <c r="I15" s="135"/>
      <c r="J15" s="135"/>
    </row>
    <row r="16" spans="1:10" s="90" customFormat="1" ht="25.5" customHeight="1" x14ac:dyDescent="0.2">
      <c r="A16" s="158" t="str">
        <f>'START HERE'!$B$15</f>
        <v>Solution Description</v>
      </c>
      <c r="B16" s="144"/>
      <c r="C16" s="136" t="str">
        <f>VLOOKUP($A16,'START HERE'!$B$13:$C$21,2,0)&amp;""</f>
        <v>We survey undergraduate students about their college experiences</v>
      </c>
      <c r="D16" s="98"/>
      <c r="E16" s="213"/>
      <c r="F16" s="216"/>
      <c r="G16" s="135"/>
      <c r="H16" s="135"/>
      <c r="I16" s="135"/>
      <c r="J16" s="135"/>
    </row>
    <row r="17" spans="1:11" s="90" customFormat="1" ht="25.5" customHeight="1" thickBot="1" x14ac:dyDescent="0.25">
      <c r="A17" s="159" t="s">
        <v>983</v>
      </c>
      <c r="B17" s="145"/>
      <c r="C17" s="337" t="str">
        <f>'START HERE'!$C$3</f>
        <v>Oct 17 2025</v>
      </c>
      <c r="D17" s="141"/>
      <c r="E17" s="214"/>
      <c r="F17" s="216"/>
      <c r="G17" s="135"/>
      <c r="H17" s="135"/>
      <c r="I17" s="135"/>
      <c r="J17" s="135"/>
    </row>
    <row r="18" spans="1:11" s="90" customFormat="1" ht="24.75" customHeight="1" x14ac:dyDescent="0.2">
      <c r="A18" s="91"/>
      <c r="B18" s="91"/>
      <c r="C18" s="260"/>
      <c r="D18" s="97"/>
      <c r="E18" s="91"/>
      <c r="F18" s="91"/>
      <c r="G18" s="91"/>
      <c r="H18" s="92"/>
      <c r="I18" s="92"/>
      <c r="J18" s="92"/>
    </row>
    <row r="19" spans="1:11" s="88" customFormat="1" ht="24" customHeight="1" thickBot="1" x14ac:dyDescent="0.25">
      <c r="A19" s="372"/>
      <c r="B19" s="372"/>
      <c r="C19" s="372"/>
      <c r="D19" s="89"/>
    </row>
    <row r="20" spans="1:11" ht="30" customHeight="1" thickBot="1" x14ac:dyDescent="0.25">
      <c r="A20" s="273" t="s">
        <v>1568</v>
      </c>
      <c r="B20" s="84" t="s">
        <v>982</v>
      </c>
      <c r="C20" s="111" t="s">
        <v>1569</v>
      </c>
      <c r="D20" s="83" t="s">
        <v>1570</v>
      </c>
      <c r="E20" s="110" t="s">
        <v>981</v>
      </c>
      <c r="F20" s="110" t="s">
        <v>980</v>
      </c>
      <c r="G20" s="126" t="s">
        <v>1002</v>
      </c>
      <c r="H20" s="127"/>
      <c r="I20" s="128"/>
    </row>
    <row r="21" spans="1:11" s="85" customFormat="1" ht="40.5" customHeight="1" x14ac:dyDescent="0.2">
      <c r="B21" s="86" t="str">
        <f>VLOOKUP($K21,'Auto Responses'!$N$4:$O$38,2,0)&amp;""</f>
        <v xml:space="preserve"> Company Information</v>
      </c>
      <c r="C21" s="118" t="b">
        <v>1</v>
      </c>
      <c r="D21" s="112">
        <f>IF($C21=TRUE,SUMIF('(backend scoring)'!$B$3:$B$333,$K21,'(backend scoring)'!$O$3:$O$333),"")</f>
        <v>30</v>
      </c>
      <c r="E21" s="119">
        <f>IF($C21=TRUE,SUMIF('(backend scoring)'!$B$3:$B$333,$K21,'(backend scoring)'!$P$3:$P$333),"")</f>
        <v>30</v>
      </c>
      <c r="F21" s="147">
        <f t="shared" ref="F21:F39" si="0">IFERROR($E21/$D21,"N/A")</f>
        <v>1</v>
      </c>
      <c r="G21" s="223" t="str">
        <f>"Jump to "&amp;B21</f>
        <v>Jump to  Company Information</v>
      </c>
      <c r="H21" s="121"/>
      <c r="I21" s="123"/>
      <c r="K21" s="85" t="s">
        <v>911</v>
      </c>
    </row>
    <row r="22" spans="1:11" s="85" customFormat="1" ht="40.5" customHeight="1" x14ac:dyDescent="0.2">
      <c r="A22" s="266"/>
      <c r="B22" s="86" t="str">
        <f>VLOOKUP($K22,'Auto Responses'!$N$4:$O$38,2,0)&amp;""</f>
        <v xml:space="preserve"> Documentation</v>
      </c>
      <c r="C22" s="118" t="b">
        <v>1</v>
      </c>
      <c r="D22" s="112">
        <f>IF($C22=TRUE,SUMIF('(backend scoring)'!$B$3:$B$333,$K22,'(backend scoring)'!$O$3:$O$333),"")</f>
        <v>90</v>
      </c>
      <c r="E22" s="119">
        <f>IF($C22=TRUE,SUMIF('(backend scoring)'!$B$3:$B$333,$K22,'(backend scoring)'!$P$3:$P$333),"")</f>
        <v>20</v>
      </c>
      <c r="F22" s="146">
        <f t="shared" si="0"/>
        <v>0.22222222222222221</v>
      </c>
      <c r="G22" s="224" t="str">
        <f t="shared" ref="G22:G36" si="1">"Jump to "&amp;B22</f>
        <v>Jump to  Documentation</v>
      </c>
      <c r="H22" s="120"/>
      <c r="I22" s="124"/>
      <c r="K22" s="85" t="s">
        <v>915</v>
      </c>
    </row>
    <row r="23" spans="1:11" s="85" customFormat="1" ht="40.5" customHeight="1" x14ac:dyDescent="0.2">
      <c r="A23" s="266"/>
      <c r="B23" s="86" t="str">
        <f>VLOOKUP($K23,'Auto Responses'!$N$4:$O$38,2,0)&amp;""</f>
        <v xml:space="preserve"> Assessment of Third Parties</v>
      </c>
      <c r="C23" s="118" t="b">
        <v>1</v>
      </c>
      <c r="D23" s="112">
        <f>IF($C23=TRUE,SUMIF('(backend scoring)'!$B$3:$B$333,$K23,'(backend scoring)'!$O$3:$O$333),"")</f>
        <v>90</v>
      </c>
      <c r="E23" s="119">
        <f>IF($C23=TRUE,SUMIF('(backend scoring)'!$B$3:$B$333,$K23,'(backend scoring)'!$P$3:$P$333),"")</f>
        <v>0</v>
      </c>
      <c r="F23" s="146">
        <f t="shared" si="0"/>
        <v>0</v>
      </c>
      <c r="G23" s="224" t="str">
        <f t="shared" si="1"/>
        <v>Jump to  Assessment of Third Parties</v>
      </c>
      <c r="H23" s="120"/>
      <c r="I23" s="124"/>
      <c r="K23" s="85" t="s">
        <v>919</v>
      </c>
    </row>
    <row r="24" spans="1:11" s="85" customFormat="1" ht="40.5" customHeight="1" x14ac:dyDescent="0.2">
      <c r="B24" s="86" t="str">
        <f>VLOOKUP($K24,'Auto Responses'!$N$4:$O$38,2,0)&amp;""</f>
        <v xml:space="preserve"> Change Management</v>
      </c>
      <c r="C24" s="118" t="b">
        <v>1</v>
      </c>
      <c r="D24" s="112">
        <f>IF($C24=TRUE,SUMIF('(backend scoring)'!$B$3:$B$333,$K24,'(backend scoring)'!$O$3:$O$333),"")</f>
        <v>150</v>
      </c>
      <c r="E24" s="119">
        <f>IF($C24=TRUE,SUMIF('(backend scoring)'!$B$3:$B$333,$K24,'(backend scoring)'!$P$3:$P$333),"")</f>
        <v>30</v>
      </c>
      <c r="F24" s="146">
        <f t="shared" si="0"/>
        <v>0.2</v>
      </c>
      <c r="G24" s="224" t="str">
        <f t="shared" si="1"/>
        <v>Jump to  Change Management</v>
      </c>
      <c r="H24" s="120"/>
      <c r="I24" s="124"/>
      <c r="K24" s="85" t="s">
        <v>926</v>
      </c>
    </row>
    <row r="25" spans="1:11" s="85" customFormat="1" ht="40.5" customHeight="1" x14ac:dyDescent="0.2">
      <c r="B25" s="86" t="str">
        <f>VLOOKUP($K25,'Auto Responses'!$N$4:$O$38,2,0)&amp;""</f>
        <v xml:space="preserve"> Policies, Processes, and Procedures</v>
      </c>
      <c r="C25" s="118" t="b">
        <v>1</v>
      </c>
      <c r="D25" s="112">
        <f>IF($C25=TRUE,SUMIF('(backend scoring)'!$B$3:$B$333,$K25,'(backend scoring)'!$O$3:$O$333),"")</f>
        <v>145</v>
      </c>
      <c r="E25" s="119">
        <f>IF($C25=TRUE,SUMIF('(backend scoring)'!$B$3:$B$333,$K25,'(backend scoring)'!$P$3:$P$333),"")</f>
        <v>90</v>
      </c>
      <c r="F25" s="146">
        <f t="shared" si="0"/>
        <v>0.62068965517241381</v>
      </c>
      <c r="G25" s="224" t="str">
        <f t="shared" si="1"/>
        <v>Jump to  Policies, Processes, and Procedures</v>
      </c>
      <c r="H25" s="120"/>
      <c r="I25" s="124"/>
      <c r="K25" s="85" t="s">
        <v>933</v>
      </c>
    </row>
    <row r="26" spans="1:11" s="85" customFormat="1" ht="40.5" customHeight="1" x14ac:dyDescent="0.2">
      <c r="B26" s="86" t="str">
        <f>VLOOKUP($K26,'Auto Responses'!$N$4:$O$38,2,0)&amp;""</f>
        <v xml:space="preserve"> Authentication, Authorization, and Account Management</v>
      </c>
      <c r="C26" s="118" t="b">
        <v>1</v>
      </c>
      <c r="D26" s="112">
        <f>IF($C26=TRUE,SUMIF('(backend scoring)'!$B$3:$B$333,$K26,'(backend scoring)'!$O$3:$O$333),"")</f>
        <v>250</v>
      </c>
      <c r="E26" s="119">
        <f>IF($C26=TRUE,SUMIF('(backend scoring)'!$B$3:$B$333,$K26,'(backend scoring)'!$P$3:$P$333),"")</f>
        <v>110</v>
      </c>
      <c r="F26" s="146">
        <f t="shared" si="0"/>
        <v>0.44</v>
      </c>
      <c r="G26" s="224" t="str">
        <f t="shared" si="1"/>
        <v>Jump to  Authentication, Authorization, and Account Management</v>
      </c>
      <c r="H26" s="120"/>
      <c r="I26" s="124"/>
      <c r="K26" s="85" t="s">
        <v>925</v>
      </c>
    </row>
    <row r="27" spans="1:11" s="85" customFormat="1" ht="40.5" customHeight="1" x14ac:dyDescent="0.2">
      <c r="B27" s="86" t="str">
        <f>VLOOKUP($K27,'Auto Responses'!$N$4:$O$38,2,0)&amp;""</f>
        <v xml:space="preserve"> Data</v>
      </c>
      <c r="C27" s="118" t="b">
        <v>1</v>
      </c>
      <c r="D27" s="112">
        <f>IF($C27=TRUE,SUMIF('(backend scoring)'!$B$3:$B$333,$K27,'(backend scoring)'!$O$3:$O$333),"")</f>
        <v>280</v>
      </c>
      <c r="E27" s="119">
        <f>IF($C27=TRUE,SUMIF('(backend scoring)'!$B$3:$B$333,$K27,'(backend scoring)'!$P$3:$P$333),"")</f>
        <v>170</v>
      </c>
      <c r="F27" s="146">
        <f t="shared" si="0"/>
        <v>0.6071428571428571</v>
      </c>
      <c r="G27" s="224" t="str">
        <f t="shared" si="1"/>
        <v>Jump to  Data</v>
      </c>
      <c r="H27" s="120"/>
      <c r="I27" s="124"/>
      <c r="K27" s="85" t="s">
        <v>928</v>
      </c>
    </row>
    <row r="28" spans="1:11" s="85" customFormat="1" ht="40.5" customHeight="1" x14ac:dyDescent="0.2">
      <c r="B28" s="86" t="str">
        <f>VLOOKUP($K28,'Auto Responses'!$N$4:$O$38,2,0)&amp;""</f>
        <v xml:space="preserve"> Application/Service Security</v>
      </c>
      <c r="C28" s="118" t="b">
        <v>1</v>
      </c>
      <c r="D28" s="112">
        <f>IF($C28=TRUE,SUMIF('(backend scoring)'!$B$3:$B$333,$K28,'(backend scoring)'!$O$3:$O$333),"")</f>
        <v>200</v>
      </c>
      <c r="E28" s="119">
        <f>IF($C28=TRUE,SUMIF('(backend scoring)'!$B$3:$B$333,$K28,'(backend scoring)'!$P$3:$P$333),"")</f>
        <v>90</v>
      </c>
      <c r="F28" s="146">
        <f t="shared" si="0"/>
        <v>0.45</v>
      </c>
      <c r="G28" s="224" t="str">
        <f t="shared" si="1"/>
        <v>Jump to  Application/Service Security</v>
      </c>
      <c r="H28" s="120"/>
      <c r="I28" s="124"/>
      <c r="K28" s="85" t="s">
        <v>923</v>
      </c>
    </row>
    <row r="29" spans="1:11" s="85" customFormat="1" ht="40.5" customHeight="1" x14ac:dyDescent="0.2">
      <c r="B29" s="86" t="str">
        <f>VLOOKUP($K29,'Auto Responses'!$N$4:$O$38,2,0)&amp;""</f>
        <v xml:space="preserve"> Datacenter</v>
      </c>
      <c r="C29" s="118" t="b">
        <v>1</v>
      </c>
      <c r="D29" s="112">
        <f>IF($C29=TRUE,SUMIF('(backend scoring)'!$B$3:$B$333,$K29,'(backend scoring)'!$O$3:$O$333),"")</f>
        <v>170</v>
      </c>
      <c r="E29" s="119">
        <f>IF($C29=TRUE,SUMIF('(backend scoring)'!$B$3:$B$333,$K29,'(backend scoring)'!$P$3:$P$333),"")</f>
        <v>150</v>
      </c>
      <c r="F29" s="146">
        <f t="shared" si="0"/>
        <v>0.88235294117647056</v>
      </c>
      <c r="G29" s="224" t="str">
        <f t="shared" si="1"/>
        <v>Jump to  Datacenter</v>
      </c>
      <c r="H29" s="120"/>
      <c r="I29" s="124"/>
      <c r="K29" s="85" t="s">
        <v>930</v>
      </c>
    </row>
    <row r="30" spans="1:11" s="85" customFormat="1" ht="40.5" customHeight="1" x14ac:dyDescent="0.2">
      <c r="B30" s="86" t="str">
        <f>VLOOKUP($K30,'Auto Responses'!$N$4:$O$38,2,0)&amp;""</f>
        <v xml:space="preserve"> Firewalls, IDS, IPS, and Networking</v>
      </c>
      <c r="C30" s="118" t="b">
        <v>1</v>
      </c>
      <c r="D30" s="112">
        <f>IF($C30=TRUE,SUMIF('(backend scoring)'!$B$3:$B$333,$K30,'(backend scoring)'!$O$3:$O$333),"")</f>
        <v>145</v>
      </c>
      <c r="E30" s="119">
        <f>IF($C30=TRUE,SUMIF('(backend scoring)'!$B$3:$B$333,$K30,'(backend scoring)'!$P$3:$P$333),"")</f>
        <v>145</v>
      </c>
      <c r="F30" s="146">
        <f t="shared" si="0"/>
        <v>1</v>
      </c>
      <c r="G30" s="224" t="str">
        <f t="shared" si="1"/>
        <v>Jump to  Firewalls, IDS, IPS, and Networking</v>
      </c>
      <c r="H30" s="120"/>
      <c r="I30" s="124"/>
      <c r="K30" s="85" t="s">
        <v>932</v>
      </c>
    </row>
    <row r="31" spans="1:11" s="85" customFormat="1" ht="40.5" customHeight="1" x14ac:dyDescent="0.2">
      <c r="B31" s="86" t="str">
        <f>VLOOKUP($K31,'Auto Responses'!$N$4:$O$38,2,0)&amp;""</f>
        <v xml:space="preserve"> Incident Handling</v>
      </c>
      <c r="C31" s="118" t="b">
        <v>1</v>
      </c>
      <c r="D31" s="112">
        <f>IF($C31=TRUE,SUMIF('(backend scoring)'!$B$3:$B$333,$K31,'(backend scoring)'!$O$3:$O$333),"")</f>
        <v>25</v>
      </c>
      <c r="E31" s="119">
        <f>IF($C31=TRUE,SUMIF('(backend scoring)'!$B$3:$B$333,$K31,'(backend scoring)'!$P$3:$P$333),"")</f>
        <v>25</v>
      </c>
      <c r="F31" s="146">
        <f t="shared" si="0"/>
        <v>1</v>
      </c>
      <c r="G31" s="224" t="str">
        <f t="shared" si="1"/>
        <v>Jump to  Incident Handling</v>
      </c>
      <c r="H31" s="120"/>
      <c r="I31" s="124"/>
      <c r="K31" s="85" t="s">
        <v>935</v>
      </c>
    </row>
    <row r="32" spans="1:11" s="85" customFormat="1" ht="40.5" customHeight="1" x14ac:dyDescent="0.2">
      <c r="B32" s="86" t="str">
        <f>VLOOKUP($K32,'Auto Responses'!$N$4:$O$38,2,0)&amp;""</f>
        <v xml:space="preserve"> Vulnerability Management</v>
      </c>
      <c r="C32" s="118" t="b">
        <v>1</v>
      </c>
      <c r="D32" s="112">
        <f>IF($C32=TRUE,SUMIF('(backend scoring)'!$B$3:$B$333,$K32,'(backend scoring)'!$O$3:$O$333),"")</f>
        <v>85</v>
      </c>
      <c r="E32" s="119">
        <f>IF($C32=TRUE,SUMIF('(backend scoring)'!$B$3:$B$333,$K32,'(backend scoring)'!$P$3:$P$333),"")</f>
        <v>85</v>
      </c>
      <c r="F32" s="146">
        <f t="shared" si="0"/>
        <v>1</v>
      </c>
      <c r="G32" s="224" t="str">
        <f t="shared" si="1"/>
        <v>Jump to  Vulnerability Management</v>
      </c>
      <c r="H32" s="120"/>
      <c r="I32" s="124"/>
      <c r="K32" s="85" t="s">
        <v>937</v>
      </c>
    </row>
    <row r="33" spans="1:13" s="85" customFormat="1" ht="40.5" customHeight="1" x14ac:dyDescent="0.2">
      <c r="B33" s="86" t="str">
        <f>VLOOKUP($K33,'Auto Responses'!$N$4:$O$38,2,0)&amp;""</f>
        <v xml:space="preserve"> Consulting Services</v>
      </c>
      <c r="C33" s="118" t="b">
        <v>1</v>
      </c>
      <c r="D33" s="112">
        <f>IF($C33=TRUE,SUMIF('(backend scoring)'!$B$3:$B$333,$K33,'(backend scoring)'!$O$3:$O$333),"")</f>
        <v>0</v>
      </c>
      <c r="E33" s="119">
        <f>IF($C33=TRUE,SUMIF('(backend scoring)'!$B$3:$B$333,$K33,'(backend scoring)'!$P$3:$P$333),"")</f>
        <v>0</v>
      </c>
      <c r="F33" s="146" t="str">
        <f t="shared" si="0"/>
        <v>N/A</v>
      </c>
      <c r="G33" s="224" t="str">
        <f t="shared" si="1"/>
        <v>Jump to  Consulting Services</v>
      </c>
      <c r="H33" s="120"/>
      <c r="I33" s="124"/>
      <c r="K33" s="85" t="s">
        <v>921</v>
      </c>
    </row>
    <row r="34" spans="1:13" s="85" customFormat="1" ht="40.5" customHeight="1" x14ac:dyDescent="0.2">
      <c r="B34" s="86" t="str">
        <f>VLOOKUP($K34,'Auto Responses'!$N$4:$O$38,2,0)&amp;""</f>
        <v xml:space="preserve">HIPAA Compliance </v>
      </c>
      <c r="C34" s="118" t="b">
        <v>1</v>
      </c>
      <c r="D34" s="112">
        <f>IF($C34=TRUE,SUMIF('(backend scoring)'!$B$3:$B$333,$K34,'(backend scoring)'!$O$3:$O$333),"")</f>
        <v>0</v>
      </c>
      <c r="E34" s="119">
        <f>IF($C34=TRUE,SUMIF('(backend scoring)'!$B$3:$B$333,$K34,'(backend scoring)'!$P$3:$P$333),"")</f>
        <v>0</v>
      </c>
      <c r="F34" s="146" t="str">
        <f t="shared" si="0"/>
        <v>N/A</v>
      </c>
      <c r="G34" s="224" t="str">
        <f t="shared" si="1"/>
        <v xml:space="preserve">Jump to HIPAA Compliance </v>
      </c>
      <c r="H34" s="120"/>
      <c r="I34" s="124"/>
      <c r="K34" s="85" t="s">
        <v>939</v>
      </c>
    </row>
    <row r="35" spans="1:13" s="85" customFormat="1" ht="40.5" customHeight="1" x14ac:dyDescent="0.2">
      <c r="B35" s="86" t="str">
        <f>VLOOKUP($K35,'Auto Responses'!$N$4:$O$38,2,0)&amp;""</f>
        <v xml:space="preserve"> Payment Card Industry Data Security Standard (PCI DSS)</v>
      </c>
      <c r="C35" s="118" t="b">
        <v>1</v>
      </c>
      <c r="D35" s="112">
        <f>IF($C35=TRUE,SUMIF('(backend scoring)'!$B$3:$B$333,$K35,'(backend scoring)'!$O$3:$O$333),"")</f>
        <v>0</v>
      </c>
      <c r="E35" s="119">
        <f>IF($C35=TRUE,SUMIF('(backend scoring)'!$B$3:$B$333,$K35,'(backend scoring)'!$P$3:$P$333),"")</f>
        <v>0</v>
      </c>
      <c r="F35" s="146" t="str">
        <f t="shared" si="0"/>
        <v>N/A</v>
      </c>
      <c r="G35" s="224" t="str">
        <f t="shared" si="1"/>
        <v>Jump to  Payment Card Industry Data Security Standard (PCI DSS)</v>
      </c>
      <c r="H35" s="120"/>
      <c r="I35" s="124"/>
      <c r="K35" s="85" t="s">
        <v>940</v>
      </c>
    </row>
    <row r="36" spans="1:13" s="85" customFormat="1" ht="40.5" customHeight="1" x14ac:dyDescent="0.2">
      <c r="B36" s="86" t="str">
        <f>VLOOKUP($K36,'Auto Responses'!$N$4:$O$38,2,0)&amp;""</f>
        <v xml:space="preserve"> On-Premises Data Solutions</v>
      </c>
      <c r="C36" s="118" t="b">
        <v>1</v>
      </c>
      <c r="D36" s="112">
        <f>IF($C36=TRUE,SUMIF('(backend scoring)'!$B$3:$B$333,$K36,'(backend scoring)'!$O$3:$O$333),"")</f>
        <v>0</v>
      </c>
      <c r="E36" s="119">
        <f>IF($C36=TRUE,SUMIF('(backend scoring)'!$B$3:$B$333,$K36,'(backend scoring)'!$P$3:$P$333),"")</f>
        <v>0</v>
      </c>
      <c r="F36" s="146" t="str">
        <f t="shared" si="0"/>
        <v>N/A</v>
      </c>
      <c r="G36" s="224" t="str">
        <f t="shared" si="1"/>
        <v>Jump to  On-Premises Data Solutions</v>
      </c>
      <c r="H36" s="120"/>
      <c r="I36" s="124"/>
      <c r="K36" s="85" t="s">
        <v>941</v>
      </c>
    </row>
    <row r="37" spans="1:13" s="85" customFormat="1" ht="40.5" customHeight="1" x14ac:dyDescent="0.2">
      <c r="B37" s="86" t="str">
        <f>VLOOKUP($K37,'Auto Responses'!$N$4:$O$38,2,0)&amp;""</f>
        <v xml:space="preserve"> IT Accessibility</v>
      </c>
      <c r="C37" s="118" t="b">
        <v>1</v>
      </c>
      <c r="D37" s="112">
        <f>IF($C37=TRUE,SUMIF('(backend scoring)'!$B$3:$B$333,$K37,'(backend scoring)'!$O$3:$O$333),"")</f>
        <v>170</v>
      </c>
      <c r="E37" s="119">
        <f>IF($C37=TRUE,SUMIF('(backend scoring)'!$B$3:$B$333,$K37,'(backend scoring)'!$P$3:$P$333),"")</f>
        <v>100</v>
      </c>
      <c r="F37" s="146">
        <f t="shared" si="0"/>
        <v>0.58823529411764708</v>
      </c>
      <c r="G37" s="224" t="str">
        <f t="shared" ref="G37" si="2">"Jump to "&amp;B37</f>
        <v>Jump to  IT Accessibility</v>
      </c>
      <c r="H37" s="120"/>
      <c r="I37" s="124"/>
      <c r="K37" s="85" t="s">
        <v>917</v>
      </c>
    </row>
    <row r="38" spans="1:13" s="85" customFormat="1" ht="40.5" customHeight="1" x14ac:dyDescent="0.2">
      <c r="B38" s="86" t="s">
        <v>1088</v>
      </c>
      <c r="C38" s="118" t="b">
        <v>1</v>
      </c>
      <c r="D38" s="152">
        <f>IF($C38=TRUE,SUMIF('(backend scoring)'!$E$3:$E$333,"AI",'(backend scoring)'!$O$3:$O$333),"")</f>
        <v>0</v>
      </c>
      <c r="E38" s="152">
        <f>IF($C38=TRUE,SUMIF('(backend scoring)'!$E$3:$E$333,"AI",'(backend scoring)'!$P$3:$P$333),"")</f>
        <v>0</v>
      </c>
      <c r="F38" s="146" t="str">
        <f t="shared" si="0"/>
        <v>N/A</v>
      </c>
      <c r="G38" s="224" t="str">
        <f>"Jump to AI Questions"</f>
        <v>Jump to AI Questions</v>
      </c>
      <c r="H38" s="120"/>
      <c r="I38" s="124"/>
    </row>
    <row r="39" spans="1:13" s="85" customFormat="1" ht="40.5" customHeight="1" thickBot="1" x14ac:dyDescent="0.25">
      <c r="B39" s="148" t="s">
        <v>1089</v>
      </c>
      <c r="C39" s="149" t="b">
        <v>1</v>
      </c>
      <c r="D39" s="150">
        <f>IF($C39=TRUE,SUMIF('(backend scoring)'!$E$3:$E$333,"Privacy",'(backend scoring)'!$O$3:$O$333),"")</f>
        <v>0</v>
      </c>
      <c r="E39" s="150">
        <f>IF($C39=TRUE,SUMIF('(backend scoring)'!$E$3:$E$333,"Privacy",'(backend scoring)'!$P$3:$P$333),"")</f>
        <v>0</v>
      </c>
      <c r="F39" s="151" t="str">
        <f t="shared" si="0"/>
        <v>N/A</v>
      </c>
      <c r="G39" s="225" t="str">
        <f>"Jump to Privacy Scorecard"</f>
        <v>Jump to Privacy Scorecard</v>
      </c>
      <c r="H39" s="122"/>
      <c r="I39" s="125"/>
    </row>
    <row r="40" spans="1:13" s="85" customFormat="1" ht="30" customHeight="1" thickBot="1" x14ac:dyDescent="0.25">
      <c r="B40" s="84" t="s">
        <v>979</v>
      </c>
      <c r="C40" s="111"/>
      <c r="D40" s="113">
        <f>SUM(D21:D39)</f>
        <v>1830</v>
      </c>
      <c r="E40" s="113">
        <f>SUM(E21:E39)</f>
        <v>1045</v>
      </c>
      <c r="F40" s="82">
        <f>IFERROR(E40/D40,"N/A")</f>
        <v>0.57103825136612019</v>
      </c>
      <c r="G40" s="129"/>
      <c r="H40" s="130"/>
      <c r="I40" s="131"/>
      <c r="J40" s="239" t="s">
        <v>1505</v>
      </c>
    </row>
    <row r="41" spans="1:13" ht="15" x14ac:dyDescent="0.2">
      <c r="F41" s="56" t="s">
        <v>978</v>
      </c>
    </row>
    <row r="42" spans="1:13" ht="15" x14ac:dyDescent="0.2"/>
    <row r="43" spans="1:13" ht="15" customHeight="1" x14ac:dyDescent="0.2"/>
    <row r="44" spans="1:13" s="24" customFormat="1" ht="36" customHeight="1" x14ac:dyDescent="0.2">
      <c r="A44" s="176" t="s">
        <v>905</v>
      </c>
      <c r="B44" s="176"/>
      <c r="C44" s="180"/>
      <c r="D44" s="176"/>
      <c r="E44" s="176"/>
      <c r="F44" s="176"/>
      <c r="G44" s="176"/>
      <c r="H44" s="176"/>
      <c r="I44" s="176"/>
      <c r="J44" s="176"/>
      <c r="K44" s="176"/>
      <c r="L44" s="56"/>
      <c r="M44" s="1"/>
    </row>
    <row r="45" spans="1:13" s="24" customFormat="1" ht="36" customHeight="1" x14ac:dyDescent="0.2">
      <c r="A45" s="25" t="s">
        <v>885</v>
      </c>
      <c r="B45" s="25"/>
      <c r="C45" s="70"/>
      <c r="D45" s="25"/>
      <c r="E45" s="25"/>
      <c r="F45" s="25"/>
      <c r="G45" s="25"/>
      <c r="H45" s="25"/>
      <c r="I45" s="25"/>
      <c r="J45" s="25"/>
      <c r="K45" s="25"/>
      <c r="L45" s="56"/>
      <c r="M45" s="1"/>
    </row>
    <row r="46" spans="1:13" s="1" customFormat="1" ht="36" customHeight="1" x14ac:dyDescent="0.2">
      <c r="A46" s="11" t="s">
        <v>901</v>
      </c>
      <c r="B46" s="12"/>
      <c r="C46" s="13"/>
      <c r="D46" s="14"/>
      <c r="E46" s="14"/>
      <c r="F46" s="15"/>
      <c r="G46" s="15"/>
      <c r="H46" s="15"/>
      <c r="I46" s="15"/>
      <c r="J46" s="15"/>
      <c r="K46" s="15"/>
      <c r="L46" s="56"/>
    </row>
    <row r="47" spans="1:13" s="1" customFormat="1" ht="19.5" customHeight="1" x14ac:dyDescent="0.2">
      <c r="A47" s="252" t="str">
        <f>HLOOKUP($A$4,'Auto Responses'!$F$2:$F$7,2,0)&amp;""</f>
        <v>1. Upon initial review, you can check the "Non-Negotiable" box by any question to compile a report of questions that may prohibit a full review.</v>
      </c>
      <c r="B47" s="62"/>
      <c r="C47" s="62"/>
      <c r="D47" s="62"/>
      <c r="E47" s="62"/>
      <c r="F47" s="62"/>
      <c r="G47" s="62"/>
      <c r="H47" s="62"/>
      <c r="I47" s="62"/>
      <c r="J47" s="62"/>
      <c r="K47" s="16"/>
      <c r="L47" s="56"/>
    </row>
    <row r="48" spans="1:13" s="1" customFormat="1" ht="19.5" customHeight="1" x14ac:dyDescent="0.2">
      <c r="A48" s="252" t="str">
        <f>HLOOKUP($A$4,'Auto Responses'!$F$2:$F$7,3,0)&amp;""</f>
        <v>2. When evaluating an answer, a default importance level has been set. You can use the "Importance Override" dropdown to override the default and adjust the value of the question.</v>
      </c>
      <c r="B48" s="62"/>
      <c r="C48" s="62"/>
      <c r="D48" s="62"/>
      <c r="E48" s="62"/>
      <c r="F48" s="62"/>
      <c r="G48" s="62"/>
      <c r="H48" s="62"/>
      <c r="I48" s="62"/>
      <c r="J48" s="62"/>
      <c r="K48" s="16"/>
      <c r="L48" s="56"/>
    </row>
    <row r="49" spans="1:13" s="1" customFormat="1" ht="19.5" customHeight="1" x14ac:dyDescent="0.2">
      <c r="A49" s="252" t="str">
        <f>HLOOKUP($A$4,'Auto Responses'!$F$2:$F$7,4,0)&amp;""</f>
        <v>3. For questions that are qualitative or for which you disagree with the preferred response, make a selection in the "Compliant Override" dropdown to adjust the question's impact on the score.</v>
      </c>
      <c r="B49" s="62"/>
      <c r="C49" s="62"/>
      <c r="D49" s="62"/>
      <c r="E49" s="62"/>
      <c r="F49" s="62"/>
      <c r="G49" s="62"/>
      <c r="H49" s="62"/>
      <c r="I49" s="62"/>
      <c r="J49" s="62"/>
      <c r="K49" s="16"/>
      <c r="L49" s="56"/>
    </row>
    <row r="50" spans="1:13" s="1" customFormat="1" ht="19.5" customHeight="1" x14ac:dyDescent="0.2">
      <c r="A50" s="252" t="str">
        <f>HLOOKUP($A$4,'Auto Responses'!$F$2:$F$7,5,0)&amp;""</f>
        <v xml:space="preserve">4. Each worksheet shows a report for that section. See the "Analyst Report" sheet for a full report of all sections. </v>
      </c>
      <c r="B50" s="62"/>
      <c r="C50" s="62"/>
      <c r="D50" s="62"/>
      <c r="E50" s="62"/>
      <c r="F50" s="62"/>
      <c r="G50" s="62"/>
      <c r="H50" s="62"/>
      <c r="I50" s="62"/>
      <c r="J50" s="62"/>
      <c r="K50" s="16"/>
      <c r="L50" s="56"/>
    </row>
    <row r="51" spans="1:13" s="1" customFormat="1" ht="19.5" customHeight="1" x14ac:dyDescent="0.2">
      <c r="A51" s="252" t="str">
        <f>HLOOKUP($A$4,'Auto Responses'!$F$2:$F$7,6,0)&amp;""</f>
        <v xml:space="preserve">5. If you are evaluating a question that appears in an earlier section, the Importance and Compliant Override cannot be changed but additional notes can be added. </v>
      </c>
      <c r="B51" s="62"/>
      <c r="C51" s="62"/>
      <c r="D51" s="62"/>
      <c r="E51" s="62"/>
      <c r="F51" s="62"/>
      <c r="G51" s="62"/>
      <c r="H51" s="62"/>
      <c r="I51" s="62"/>
      <c r="J51" s="62"/>
      <c r="K51" s="16"/>
      <c r="L51" s="56"/>
    </row>
    <row r="52" spans="1:13" s="1" customFormat="1" ht="19.5" customHeight="1" thickBot="1" x14ac:dyDescent="0.25">
      <c r="A52" s="253" t="str">
        <f>HLOOKUP($A$4,'Auto Responses'!$F$2:$F$8,7,0)&amp;""</f>
        <v>For full instructions, please visit EDUCAUSE.edu/HECVAT</v>
      </c>
      <c r="B52" s="62"/>
      <c r="C52" s="62"/>
      <c r="D52" s="62"/>
      <c r="E52" s="62"/>
      <c r="F52" s="62"/>
      <c r="G52" s="62"/>
      <c r="H52" s="62"/>
      <c r="I52" s="62"/>
      <c r="J52" s="62"/>
      <c r="K52" s="16"/>
      <c r="L52" s="56"/>
    </row>
    <row r="53" spans="1:13" s="24" customFormat="1" ht="41.25" customHeight="1" thickBot="1" x14ac:dyDescent="0.25">
      <c r="A53" s="26"/>
      <c r="B53" s="26"/>
      <c r="C53" s="71"/>
      <c r="D53" s="26"/>
      <c r="E53" s="26"/>
      <c r="F53" s="190" t="s">
        <v>884</v>
      </c>
      <c r="G53" s="183" t="s">
        <v>1070</v>
      </c>
      <c r="H53" s="184"/>
      <c r="I53" s="184"/>
      <c r="J53" s="184"/>
      <c r="K53" s="184"/>
      <c r="L53" s="56"/>
      <c r="M53" s="1"/>
    </row>
    <row r="54" spans="1:13" s="30" customFormat="1" ht="63" customHeight="1" thickBot="1" x14ac:dyDescent="0.25">
      <c r="A54" s="27" t="s">
        <v>886</v>
      </c>
      <c r="B54" s="28" t="s">
        <v>1</v>
      </c>
      <c r="C54" s="28" t="s">
        <v>1555</v>
      </c>
      <c r="D54" s="29" t="s">
        <v>72</v>
      </c>
      <c r="E54" s="308" t="s">
        <v>883</v>
      </c>
      <c r="F54" s="191" t="s">
        <v>1524</v>
      </c>
      <c r="G54" s="47" t="s">
        <v>904</v>
      </c>
      <c r="H54" s="44" t="s">
        <v>906</v>
      </c>
      <c r="I54" s="44" t="s">
        <v>19</v>
      </c>
      <c r="J54" s="45" t="s">
        <v>891</v>
      </c>
      <c r="K54" s="48" t="s">
        <v>902</v>
      </c>
      <c r="L54" s="56"/>
      <c r="M54" s="1"/>
    </row>
    <row r="55" spans="1:13" s="1" customFormat="1" ht="18" x14ac:dyDescent="0.2">
      <c r="A55" s="64" t="str">
        <f>VLOOKUP(LEFT($A56,4),'Auto Responses'!$N$4:$O$38,2,0)&amp;""</f>
        <v xml:space="preserve"> General Information</v>
      </c>
      <c r="B55" s="23"/>
      <c r="C55" s="32"/>
      <c r="D55" s="32"/>
      <c r="E55" s="330"/>
      <c r="F55" s="133" t="s">
        <v>1066</v>
      </c>
      <c r="G55" s="32"/>
      <c r="H55" s="32"/>
      <c r="I55" s="32"/>
      <c r="J55" s="32"/>
      <c r="K55" s="32"/>
      <c r="L55" s="56"/>
    </row>
    <row r="56" spans="1:13" s="30" customFormat="1" ht="15" x14ac:dyDescent="0.2">
      <c r="A56" s="19" t="str">
        <f>'START HERE'!$A$13</f>
        <v>GNRL-01</v>
      </c>
      <c r="B56" s="20" t="str">
        <f>VLOOKUP($A56,'START HERE'!$A$13:$E$36,2,0)&amp;""</f>
        <v>Solution Provider Name</v>
      </c>
      <c r="C56" s="304" t="str">
        <f>VLOOKUP($A56,'START HERE'!$A$13:$E$36,3,0)&amp;""</f>
        <v>Indiana University</v>
      </c>
      <c r="D56" s="307" t="str">
        <f>IF(LEFT(VLOOKUP($A56,'START HERE'!$A$13:$E$36,5,0),21)='Auto Responses'!$A$32,'Auto Responses'!$A$33,VLOOKUP($A56,'START HERE'!$A$13:$E$36,4,0))&amp;""</f>
        <v/>
      </c>
      <c r="E56" s="329" t="str">
        <f>VLOOKUP($A56,'START HERE'!$A$13:$E$36,5,0)&amp;""</f>
        <v/>
      </c>
      <c r="F56" s="193"/>
      <c r="G56" s="31" t="str">
        <f>VLOOKUP($A56,Questions!$A$2:$X$333,21,0)&amp;""</f>
        <v>Not scored</v>
      </c>
      <c r="H56" s="186"/>
      <c r="I56" s="46" t="str">
        <f>VLOOKUP($A56,Questions!$A$2:$X$333,23,0)&amp;""</f>
        <v/>
      </c>
      <c r="J56" s="186"/>
      <c r="K56" s="76"/>
      <c r="L56" s="56"/>
      <c r="M56" s="1"/>
    </row>
    <row r="57" spans="1:13" s="30" customFormat="1" ht="15" x14ac:dyDescent="0.2">
      <c r="A57" s="19" t="str">
        <f>'START HERE'!$A$14</f>
        <v>GNRL-02</v>
      </c>
      <c r="B57" s="20" t="str">
        <f>VLOOKUP($A57,'START HERE'!$A$13:$E$36,2,0)&amp;""</f>
        <v>Solution Name</v>
      </c>
      <c r="C57" s="304" t="str">
        <f>VLOOKUP($A57,'START HERE'!$A$13:$E$36,3,0)&amp;""</f>
        <v>NSSE Shorts</v>
      </c>
      <c r="D57" s="307" t="str">
        <f>IF(LEFT(VLOOKUP($A57,'START HERE'!$A$13:$E$36,5,0),21)='Auto Responses'!$A$32,'Auto Responses'!$A$33,VLOOKUP($A57,'START HERE'!$A$13:$E$36,4,0))&amp;""</f>
        <v/>
      </c>
      <c r="E57" s="329" t="str">
        <f>VLOOKUP($A57,'START HERE'!$A$13:$E$36,5,0)&amp;""</f>
        <v/>
      </c>
      <c r="F57" s="193"/>
      <c r="G57" s="31" t="str">
        <f>VLOOKUP($A57,Questions!$A$2:$X$333,21,0)&amp;""</f>
        <v>Not scored</v>
      </c>
      <c r="H57" s="186"/>
      <c r="I57" s="46" t="str">
        <f>VLOOKUP($A57,Questions!$A$2:$X$333,23,0)&amp;""</f>
        <v/>
      </c>
      <c r="J57" s="186"/>
      <c r="K57" s="76"/>
      <c r="L57" s="56"/>
      <c r="M57" s="1"/>
    </row>
    <row r="58" spans="1:13" s="30" customFormat="1" ht="15" x14ac:dyDescent="0.2">
      <c r="A58" s="19" t="str">
        <f>'START HERE'!$A$15</f>
        <v>GNRL-03</v>
      </c>
      <c r="B58" s="20" t="str">
        <f>VLOOKUP($A58,'START HERE'!$A$13:$E$36,2,0)&amp;""</f>
        <v>Solution Description</v>
      </c>
      <c r="C58" s="304" t="str">
        <f>VLOOKUP($A58,'START HERE'!$A$13:$E$36,3,0)&amp;""</f>
        <v>We survey undergraduate students about their college experiences</v>
      </c>
      <c r="D58" s="307" t="str">
        <f>IF(LEFT(VLOOKUP($A58,'START HERE'!$A$13:$E$36,5,0),21)='Auto Responses'!$A$32,'Auto Responses'!$A$33,VLOOKUP($A58,'START HERE'!$A$13:$E$36,4,0))&amp;""</f>
        <v/>
      </c>
      <c r="E58" s="329" t="str">
        <f>VLOOKUP($A58,'START HERE'!$A$13:$E$36,5,0)&amp;""</f>
        <v/>
      </c>
      <c r="F58" s="193"/>
      <c r="G58" s="31" t="str">
        <f>VLOOKUP($A58,Questions!$A$2:$X$333,21,0)&amp;""</f>
        <v>Not scored</v>
      </c>
      <c r="H58" s="186"/>
      <c r="I58" s="46" t="str">
        <f>VLOOKUP($A58,Questions!$A$2:$X$333,23,0)&amp;""</f>
        <v/>
      </c>
      <c r="J58" s="186"/>
      <c r="K58" s="76"/>
      <c r="L58" s="56"/>
      <c r="M58" s="1"/>
    </row>
    <row r="59" spans="1:13" s="30" customFormat="1" ht="15" x14ac:dyDescent="0.2">
      <c r="A59" s="19" t="str">
        <f>'START HERE'!$A$16</f>
        <v>GNRL-04</v>
      </c>
      <c r="B59" s="20" t="str">
        <f>VLOOKUP($A59,'START HERE'!$A$13:$E$36,2,0)&amp;""</f>
        <v>Solution Provider Contact Name</v>
      </c>
      <c r="C59" s="304" t="str">
        <f>VLOOKUP($A59,'START HERE'!$A$13:$E$36,3,0)&amp;""</f>
        <v>James Cole</v>
      </c>
      <c r="D59" s="307" t="str">
        <f>IF(LEFT(VLOOKUP($A59,'START HERE'!$A$13:$E$36,5,0),21)='Auto Responses'!$A$32,'Auto Responses'!$A$33,VLOOKUP($A59,'START HERE'!$A$13:$E$36,4,0))&amp;""</f>
        <v/>
      </c>
      <c r="E59" s="329" t="str">
        <f>VLOOKUP($A59,'START HERE'!$A$13:$E$36,5,0)&amp;""</f>
        <v/>
      </c>
      <c r="F59" s="193"/>
      <c r="G59" s="31" t="str">
        <f>VLOOKUP($A59,Questions!$A$2:$X$333,21,0)&amp;""</f>
        <v>Not scored</v>
      </c>
      <c r="H59" s="186"/>
      <c r="I59" s="46" t="str">
        <f>VLOOKUP($A59,Questions!$A$2:$X$333,23,0)&amp;""</f>
        <v/>
      </c>
      <c r="J59" s="186"/>
      <c r="K59" s="76"/>
      <c r="L59" s="56"/>
      <c r="M59" s="1"/>
    </row>
    <row r="60" spans="1:13" s="30" customFormat="1" ht="15" x14ac:dyDescent="0.2">
      <c r="A60" s="19" t="str">
        <f>'START HERE'!$A$17</f>
        <v>GNRL-05</v>
      </c>
      <c r="B60" s="20" t="str">
        <f>VLOOKUP($A60,'START HERE'!$A$13:$E$36,2,0)&amp;""</f>
        <v>Solution Provider Contact Title</v>
      </c>
      <c r="C60" s="304" t="str">
        <f>VLOOKUP($A60,'START HERE'!$A$13:$E$36,3,0)&amp;""</f>
        <v>NSSE Shorts Coordinator</v>
      </c>
      <c r="D60" s="307" t="str">
        <f>IF(LEFT(VLOOKUP($A60,'START HERE'!$A$13:$E$36,5,0),21)='Auto Responses'!$A$32,'Auto Responses'!$A$33,VLOOKUP($A60,'START HERE'!$A$13:$E$36,4,0))&amp;""</f>
        <v/>
      </c>
      <c r="E60" s="329" t="str">
        <f>VLOOKUP($A60,'START HERE'!$A$13:$E$36,5,0)&amp;""</f>
        <v/>
      </c>
      <c r="F60" s="193"/>
      <c r="G60" s="31" t="str">
        <f>VLOOKUP($A60,Questions!$A$2:$X$333,21,0)&amp;""</f>
        <v>Not scored</v>
      </c>
      <c r="H60" s="186"/>
      <c r="I60" s="46" t="str">
        <f>VLOOKUP($A60,Questions!$A$2:$X$333,23,0)&amp;""</f>
        <v/>
      </c>
      <c r="J60" s="186"/>
      <c r="K60" s="76"/>
      <c r="L60" s="56"/>
      <c r="M60" s="1"/>
    </row>
    <row r="61" spans="1:13" s="30" customFormat="1" ht="15" x14ac:dyDescent="0.2">
      <c r="A61" s="19" t="str">
        <f>'START HERE'!$A$18</f>
        <v>GNRL-06</v>
      </c>
      <c r="B61" s="20" t="str">
        <f>VLOOKUP($A61,'START HERE'!$A$13:$E$36,2,0)&amp;""</f>
        <v>Solution Provider Contact Email</v>
      </c>
      <c r="C61" s="304" t="str">
        <f>VLOOKUP($A61,'START HERE'!$A$13:$E$36,3,0)&amp;""</f>
        <v>nsseshrt@iu.edu</v>
      </c>
      <c r="D61" s="307" t="str">
        <f>IF(LEFT(VLOOKUP($A61,'START HERE'!$A$13:$E$36,5,0),21)='Auto Responses'!$A$32,'Auto Responses'!$A$33,VLOOKUP($A61,'START HERE'!$A$13:$E$36,4,0))&amp;""</f>
        <v/>
      </c>
      <c r="E61" s="329" t="str">
        <f>VLOOKUP($A61,'START HERE'!$A$13:$E$36,5,0)&amp;""</f>
        <v/>
      </c>
      <c r="F61" s="193"/>
      <c r="G61" s="31" t="str">
        <f>VLOOKUP($A61,Questions!$A$2:$X$333,21,0)&amp;""</f>
        <v>Not scored</v>
      </c>
      <c r="H61" s="186"/>
      <c r="I61" s="46" t="str">
        <f>VLOOKUP($A61,Questions!$A$2:$X$333,23,0)&amp;""</f>
        <v/>
      </c>
      <c r="J61" s="186"/>
      <c r="K61" s="76"/>
      <c r="L61" s="56"/>
      <c r="M61" s="1"/>
    </row>
    <row r="62" spans="1:13" s="30" customFormat="1" ht="15" x14ac:dyDescent="0.2">
      <c r="A62" s="19" t="str">
        <f>'START HERE'!$A$19</f>
        <v>GNRL-07</v>
      </c>
      <c r="B62" s="20" t="str">
        <f>VLOOKUP($A62,'START HERE'!$A$13:$E$36,2,0)&amp;""</f>
        <v>Solution Provider Contact Phone Number</v>
      </c>
      <c r="C62" s="304" t="str">
        <f>VLOOKUP($A62,'START HERE'!$A$13:$E$36,3,0)&amp;""</f>
        <v>812-856-5824</v>
      </c>
      <c r="D62" s="307" t="str">
        <f>IF(LEFT(VLOOKUP($A62,'START HERE'!$A$13:$E$36,5,0),21)='Auto Responses'!$A$32,'Auto Responses'!$A$33,VLOOKUP($A62,'START HERE'!$A$13:$E$36,4,0))&amp;""</f>
        <v/>
      </c>
      <c r="E62" s="329" t="str">
        <f>VLOOKUP($A62,'START HERE'!$A$13:$E$36,5,0)&amp;""</f>
        <v/>
      </c>
      <c r="F62" s="193"/>
      <c r="G62" s="31" t="str">
        <f>VLOOKUP($A62,Questions!$A$2:$X$333,21,0)&amp;""</f>
        <v>Not scored</v>
      </c>
      <c r="H62" s="186"/>
      <c r="I62" s="46" t="str">
        <f>VLOOKUP($A62,Questions!$A$2:$X$333,23,0)&amp;""</f>
        <v/>
      </c>
      <c r="J62" s="186"/>
      <c r="K62" s="76"/>
      <c r="L62" s="56"/>
      <c r="M62" s="1"/>
    </row>
    <row r="63" spans="1:13" s="30" customFormat="1" ht="15" x14ac:dyDescent="0.2">
      <c r="A63" s="19" t="str">
        <f>'START HERE'!$A$20</f>
        <v>GNRL-08</v>
      </c>
      <c r="B63" s="20" t="str">
        <f>VLOOKUP($A63,'START HERE'!$A$13:$E$36,2,0)&amp;""</f>
        <v>Country of Company Headquarters</v>
      </c>
      <c r="C63" s="304" t="str">
        <f>VLOOKUP($A63,'START HERE'!$A$13:$E$36,3,0)&amp;""</f>
        <v>Bloomington, Indiana</v>
      </c>
      <c r="D63" s="307" t="str">
        <f>IF(LEFT(VLOOKUP($A63,'START HERE'!$A$13:$E$36,5,0),21)='Auto Responses'!$A$32,'Auto Responses'!$A$33,VLOOKUP($A63,'START HERE'!$A$13:$E$36,4,0))&amp;""</f>
        <v/>
      </c>
      <c r="E63" s="329" t="str">
        <f>VLOOKUP($A63,'START HERE'!$A$13:$E$36,5,0)&amp;""</f>
        <v/>
      </c>
      <c r="F63" s="193"/>
      <c r="G63" s="31" t="str">
        <f>VLOOKUP($A63,Questions!$A$2:$X$333,21,0)&amp;""</f>
        <v>Not scored</v>
      </c>
      <c r="H63" s="186"/>
      <c r="I63" s="46" t="str">
        <f>VLOOKUP($A63,Questions!$A$2:$X$333,23,0)&amp;""</f>
        <v/>
      </c>
      <c r="J63" s="186"/>
      <c r="K63" s="76"/>
      <c r="L63" s="56"/>
      <c r="M63" s="1"/>
    </row>
    <row r="64" spans="1:13" s="30" customFormat="1" ht="15" x14ac:dyDescent="0.2">
      <c r="A64" s="19" t="str">
        <f>'START HERE'!$A$21</f>
        <v>GNRL-09</v>
      </c>
      <c r="B64" s="20" t="str">
        <f>VLOOKUP($A64,'START HERE'!$A$13:$E$36,2,0)&amp;""</f>
        <v>Employee Work Locations (all)</v>
      </c>
      <c r="C64" s="304" t="str">
        <f>VLOOKUP($A64,'START HERE'!$A$13:$E$36,3,0)&amp;""</f>
        <v/>
      </c>
      <c r="D64" s="307" t="str">
        <f>IF(LEFT(VLOOKUP($A64,'START HERE'!$A$13:$E$36,5,0),21)='Auto Responses'!$A$32,'Auto Responses'!$A$33,VLOOKUP($A64,'START HERE'!$A$13:$E$36,4,0))&amp;""</f>
        <v/>
      </c>
      <c r="E64" s="329" t="str">
        <f>VLOOKUP($A64,'START HERE'!$A$13:$E$36,5,0)&amp;""</f>
        <v/>
      </c>
      <c r="F64" s="193"/>
      <c r="G64" s="31" t="str">
        <f>VLOOKUP($A64,Questions!$A$2:$X$333,21,0)&amp;""</f>
        <v>Not scored</v>
      </c>
      <c r="H64" s="186"/>
      <c r="I64" s="46" t="str">
        <f>VLOOKUP($A64,Questions!$A$2:$X$333,23,0)&amp;""</f>
        <v/>
      </c>
      <c r="J64" s="186"/>
      <c r="K64" s="76"/>
      <c r="L64" s="56"/>
      <c r="M64" s="1"/>
    </row>
    <row r="65" spans="1:13" s="1" customFormat="1" ht="18" x14ac:dyDescent="0.2">
      <c r="A65" s="64" t="str">
        <f>VLOOKUP(LEFT($A66,4),'Auto Responses'!$N$4:$O$38,2,0)&amp;""</f>
        <v xml:space="preserve"> Company Information</v>
      </c>
      <c r="B65" s="23"/>
      <c r="C65" s="32"/>
      <c r="D65" s="32"/>
      <c r="E65" s="330"/>
      <c r="F65" s="133" t="s">
        <v>1066</v>
      </c>
      <c r="G65" s="336" t="s">
        <v>904</v>
      </c>
      <c r="H65" s="336" t="s">
        <v>906</v>
      </c>
      <c r="I65" s="336" t="s">
        <v>19</v>
      </c>
      <c r="J65" s="336" t="s">
        <v>891</v>
      </c>
      <c r="K65" s="32"/>
      <c r="L65" s="56"/>
    </row>
    <row r="66" spans="1:13" s="30" customFormat="1" ht="135" x14ac:dyDescent="0.2">
      <c r="A66" s="19" t="str">
        <f>'START HERE'!$A$23</f>
        <v>COMP-01</v>
      </c>
      <c r="B66" s="20" t="str">
        <f>VLOOKUP($A66,'START HERE'!$A$13:$E$36,2,0)&amp;""</f>
        <v>Do you have a dedicated software and system development team(s) (e.g., customer support, implementation, product management, etc.)?*</v>
      </c>
      <c r="C66" s="46" t="str">
        <f>VLOOKUP($A66,'START HERE'!$A$13:$E$36,3,0)&amp;""</f>
        <v>Yes</v>
      </c>
      <c r="D66" s="35" t="str">
        <f>IF(LEFT(VLOOKUP($A66,'START HERE'!$A$13:$E$36,5,0),21)='Auto Responses'!$A$32,'Auto Responses'!$A$33,VLOOKUP($A66,'START HERE'!$A$13:$E$36,4,0))&amp;""</f>
        <v>See Managing IU Data at: https://datamanagement.iu.edu/index.html</v>
      </c>
      <c r="E66" s="333" t="str">
        <f>VLOOKUP($A66,'START HERE'!$A$13:$E$36,5,0)&amp;""</f>
        <v>Describe the structure and size of your software and system development teams. (e.g., customer support, implementation, product management, etc.).</v>
      </c>
      <c r="F66" s="193"/>
      <c r="G66" s="31" t="str">
        <f>VLOOKUP($A66,Questions!$A$2:$X$333,21,0)&amp;""</f>
        <v>Yes</v>
      </c>
      <c r="H66" s="186"/>
      <c r="I66" s="46" t="str">
        <f>VLOOKUP($A66,Questions!$A$2:$X$333,23,0)&amp;""</f>
        <v>Critical Importance</v>
      </c>
      <c r="J66" s="186"/>
      <c r="K66" s="49" t="b">
        <v>0</v>
      </c>
      <c r="L66" s="56"/>
      <c r="M66" s="1"/>
    </row>
    <row r="67" spans="1:13" s="30" customFormat="1" ht="150" x14ac:dyDescent="0.2">
      <c r="A67" s="19" t="str">
        <f>'START HERE'!$A$24</f>
        <v>COMP-02</v>
      </c>
      <c r="B67" s="20" t="str">
        <f>VLOOKUP($A67,'START HERE'!$A$13:$E$36,2,0)&amp;""</f>
        <v>Describe your organization’s business background and ownership structure, including all parent and subsidiary relationships.</v>
      </c>
      <c r="C67" s="306" t="str">
        <f>VLOOKUP($A67,'START HERE'!$A$13:$E$36,3,0)&amp;""</f>
        <v>NSSE Shorts is a project within the larger National Survey of Student Engagement at Indiana University.  NSSE has been an active project at Indiana University since 1999.</v>
      </c>
      <c r="D67" s="307" t="str">
        <f>IF(LEFT(VLOOKUP($A67,'START HERE'!$A$13:$E$36,5,0),21)='Auto Responses'!$A$32,'Auto Responses'!$A$33,VLOOKUP($A67,'START HERE'!$A$13:$E$36,4,0))&amp;""</f>
        <v/>
      </c>
      <c r="E67" s="333" t="str">
        <f>VLOOKUP($A67,'START HERE'!$A$13:$E$36,5,0)&amp;""</f>
        <v>Include circumstances that may involve offshoring or multinational agreements.</v>
      </c>
      <c r="F67" s="193"/>
      <c r="G67" s="31" t="str">
        <f>VLOOKUP($A67,Questions!$A$2:$X$333,21,0)&amp;""</f>
        <v>Not scored</v>
      </c>
      <c r="H67" s="186"/>
      <c r="I67" s="46" t="str">
        <f>VLOOKUP($A67,Questions!$A$2:$X$333,23,0)&amp;""</f>
        <v/>
      </c>
      <c r="J67" s="186"/>
      <c r="K67" s="49" t="b">
        <v>0</v>
      </c>
      <c r="L67" s="56"/>
      <c r="M67" s="1"/>
    </row>
    <row r="68" spans="1:13" s="30" customFormat="1" ht="28.5" x14ac:dyDescent="0.2">
      <c r="A68" s="19" t="str">
        <f>'START HERE'!$A$25</f>
        <v>COMP-03</v>
      </c>
      <c r="B68" s="20" t="str">
        <f>VLOOKUP($A68,'START HERE'!$A$13:$E$36,2,0)&amp;""</f>
        <v>Have you operated without unplanned disruptions to this solution in the past 12 months?</v>
      </c>
      <c r="C68" s="46" t="str">
        <f>VLOOKUP($A68,'START HERE'!$A$13:$E$36,3,0)&amp;""</f>
        <v>Yes</v>
      </c>
      <c r="D68" s="35" t="str">
        <f>IF(LEFT(VLOOKUP($A68,'START HERE'!$A$13:$E$36,5,0),21)='Auto Responses'!$A$32,'Auto Responses'!$A$33,VLOOKUP($A68,'START HERE'!$A$13:$E$36,4,0))&amp;""</f>
        <v/>
      </c>
      <c r="E68" s="333" t="str">
        <f>VLOOKUP($A68,'START HERE'!$A$13:$E$36,5,0)&amp;""</f>
        <v/>
      </c>
      <c r="F68" s="193"/>
      <c r="G68" s="31" t="str">
        <f>VLOOKUP($A68,Questions!$A$2:$X$333,21,0)&amp;""</f>
        <v>Yes</v>
      </c>
      <c r="H68" s="186"/>
      <c r="I68" s="46" t="str">
        <f>VLOOKUP($A68,Questions!$A$2:$X$333,23,0)&amp;""</f>
        <v>Minor Importance</v>
      </c>
      <c r="J68" s="186"/>
      <c r="K68" s="49" t="b">
        <v>0</v>
      </c>
      <c r="L68" s="56"/>
      <c r="M68" s="1"/>
    </row>
    <row r="69" spans="1:13" s="30" customFormat="1" ht="75" x14ac:dyDescent="0.2">
      <c r="A69" s="19" t="str">
        <f>'START HERE'!$A$26</f>
        <v>COMP-04</v>
      </c>
      <c r="B69" s="20" t="str">
        <f>VLOOKUP($A69,'START HERE'!$A$13:$E$36,2,0)&amp;""</f>
        <v>Do you have a dedicated information security staff or office?</v>
      </c>
      <c r="C69" s="46" t="str">
        <f>VLOOKUP($A69,'START HERE'!$A$13:$E$36,3,0)&amp;""</f>
        <v>Yes</v>
      </c>
      <c r="D69" s="35" t="str">
        <f>IF(LEFT(VLOOKUP($A69,'START HERE'!$A$13:$E$36,5,0),21)='Auto Responses'!$A$32,'Auto Responses'!$A$33,VLOOKUP($A69,'START HERE'!$A$13:$E$36,4,0))&amp;""</f>
        <v>See Managing IU Data at: https://datamanagement.iu.edu/index.html</v>
      </c>
      <c r="E69" s="333" t="str">
        <f>VLOOKUP($A69,'START HERE'!$A$13:$E$36,5,0)&amp;""</f>
        <v>Describe your information security office, including size, talents, resources, etc.</v>
      </c>
      <c r="F69" s="193"/>
      <c r="G69" s="31" t="str">
        <f>VLOOKUP($A69,Questions!$A$2:$X$333,21,0)&amp;""</f>
        <v>Yes</v>
      </c>
      <c r="H69" s="186"/>
      <c r="I69" s="46" t="str">
        <f>VLOOKUP($A69,Questions!$A$2:$X$333,23,0)&amp;""</f>
        <v>Minor Importance</v>
      </c>
      <c r="J69" s="186"/>
      <c r="K69" s="49" t="b">
        <v>0</v>
      </c>
      <c r="L69" s="56"/>
      <c r="M69" s="1"/>
    </row>
    <row r="70" spans="1:13" s="30" customFormat="1" ht="120" x14ac:dyDescent="0.2">
      <c r="A70" s="19" t="str">
        <f>'START HERE'!$A$27</f>
        <v>COMP-05</v>
      </c>
      <c r="B70" s="20" t="str">
        <f>VLOOKUP($A70,'START HERE'!$A$13:$E$36,2,0)&amp;""</f>
        <v>Use this area to share information about your environment that will assist those who are assessing your company's data security program.</v>
      </c>
      <c r="C70" s="306" t="str">
        <f>VLOOKUP($A70,'START HERE'!$A$13:$E$36,3,0)&amp;""</f>
        <v>NSSE Shorts uses Qualtrics survey and dashboard products; all data and reports accessed by institutions is via the Qualtrics dashboard</v>
      </c>
      <c r="D70" s="307" t="str">
        <f>IF(LEFT(VLOOKUP($A70,'START HERE'!$A$13:$E$36,5,0),21)='Auto Responses'!$A$32,'Auto Responses'!$A$33,VLOOKUP($A70,'START HERE'!$A$13:$E$36,4,0))&amp;""</f>
        <v>See Qualtrics HECVAT 2025 for details regarding Qualtrics documentation: https://bcsse.iu.edu/doc/bcsse/Qualtrics%20HECVAT%202025.xlsx</v>
      </c>
      <c r="E70" s="333" t="str">
        <f>VLOOKUP($A70,'START HERE'!$A$13:$E$36,5,0)&amp;""</f>
        <v>Share any details that would help information security analysts assess your solution.</v>
      </c>
      <c r="F70" s="193"/>
      <c r="G70" s="31" t="str">
        <f>VLOOKUP($A70,Questions!$A$2:$X$333,21,0)&amp;""</f>
        <v>Not scored</v>
      </c>
      <c r="H70" s="186"/>
      <c r="I70" s="46" t="str">
        <f>VLOOKUP($A70,Questions!$A$2:$X$333,23,0)&amp;""</f>
        <v/>
      </c>
      <c r="J70" s="186"/>
      <c r="K70" s="49" t="b">
        <v>0</v>
      </c>
      <c r="L70" s="56"/>
      <c r="M70" s="1"/>
    </row>
    <row r="71" spans="1:13" s="1" customFormat="1" ht="18.75" thickBot="1" x14ac:dyDescent="0.25">
      <c r="A71" s="64" t="str">
        <f>VLOOKUP(LEFT($A72,4),'Auto Responses'!$N$4:$O$38,2,0)&amp;""</f>
        <v xml:space="preserve"> Required Questions</v>
      </c>
      <c r="B71" s="23"/>
      <c r="C71" s="32"/>
      <c r="D71" s="32"/>
      <c r="E71" s="332"/>
      <c r="F71" s="133" t="s">
        <v>1066</v>
      </c>
      <c r="G71" s="336" t="s">
        <v>904</v>
      </c>
      <c r="H71" s="336" t="s">
        <v>906</v>
      </c>
      <c r="I71" s="336" t="s">
        <v>19</v>
      </c>
      <c r="J71" s="336" t="s">
        <v>891</v>
      </c>
      <c r="K71" s="154"/>
      <c r="L71" s="56"/>
    </row>
    <row r="72" spans="1:13" s="30" customFormat="1" ht="120" x14ac:dyDescent="0.2">
      <c r="A72" s="19" t="str">
        <f>'START HERE'!$A$29</f>
        <v>REQU-01</v>
      </c>
      <c r="B72" s="20" t="str">
        <f>VLOOKUP($A72,'START HERE'!$A$13:$E$36,2,0)&amp;""</f>
        <v>Are you offering a cloud-based product?</v>
      </c>
      <c r="C72" s="46" t="str">
        <f>VLOOKUP($A72,'START HERE'!$A$13:$E$36,3,0)&amp;""</f>
        <v>Yes</v>
      </c>
      <c r="D72" s="35" t="str">
        <f>IF(LEFT(VLOOKUP($A72,'START HERE'!$A$13:$E$36,5,0),21)='Auto Responses'!$A$32,'Auto Responses'!$A$33,VLOOKUP($A72,'START HERE'!$A$13:$E$36,4,0))&amp;""</f>
        <v>See Qualtrics HECVAT 2025 for details regarding Qualtrics documentation: https://bcsse.iu.edu/doc/bcsse/Qualtrics%20HECVAT%202025.xlsx</v>
      </c>
      <c r="E72" s="331" t="str">
        <f>VLOOKUP($A72,'START HERE'!$A$13:$E$36,5,0)&amp;""</f>
        <v>DO complete the Product and Infrastructure worksheets</v>
      </c>
      <c r="F72" s="194"/>
      <c r="G72" s="31" t="str">
        <f>VLOOKUP($A72,Questions!$A$2:$X$333,21,0)&amp;""</f>
        <v>Not scored</v>
      </c>
      <c r="H72" s="186"/>
      <c r="I72" s="46" t="str">
        <f>VLOOKUP($A72,Questions!$A$2:$X$333,23,0)&amp;""</f>
        <v/>
      </c>
      <c r="J72" s="186"/>
      <c r="K72" s="155" t="b">
        <v>0</v>
      </c>
      <c r="L72" s="56"/>
      <c r="M72" s="1"/>
    </row>
    <row r="73" spans="1:13" s="30" customFormat="1" ht="105" x14ac:dyDescent="0.2">
      <c r="A73" s="19" t="str">
        <f>'START HERE'!$A$30</f>
        <v>REQU-02</v>
      </c>
      <c r="B73" s="20" t="str">
        <f>VLOOKUP($A73,'START HERE'!$A$13:$E$36,2,0)&amp;""</f>
        <v>Does your product or service have an interface?</v>
      </c>
      <c r="C73" s="46" t="str">
        <f>VLOOKUP($A73,'START HERE'!$A$13:$E$36,3,0)&amp;""</f>
        <v>Yes</v>
      </c>
      <c r="D73" s="35" t="str">
        <f>IF(LEFT(VLOOKUP($A73,'START HERE'!$A$13:$E$36,5,0),21)='Auto Responses'!$A$32,'Auto Responses'!$A$33,VLOOKUP($A73,'START HERE'!$A$13:$E$36,4,0))&amp;""</f>
        <v>NSSE Shorts uses Qualtrics survey and dashboard products; all data and reports accessed by institutions is via the Qualtrics dashboard</v>
      </c>
      <c r="E73" s="331" t="str">
        <f>VLOOKUP($A73,'START HERE'!$A$13:$E$36,5,0)&amp;""</f>
        <v>DO complete the IT Accessibility worksheet.</v>
      </c>
      <c r="F73" s="189"/>
      <c r="G73" s="31" t="str">
        <f>VLOOKUP($A73,Questions!$A$2:$X$333,21,0)&amp;""</f>
        <v>Not scored</v>
      </c>
      <c r="H73" s="186"/>
      <c r="I73" s="46" t="str">
        <f>VLOOKUP($A73,Questions!$A$2:$X$333,23,0)&amp;""</f>
        <v/>
      </c>
      <c r="J73" s="186"/>
      <c r="K73" s="49" t="b">
        <v>0</v>
      </c>
      <c r="L73" s="56"/>
      <c r="M73" s="1"/>
    </row>
    <row r="74" spans="1:13" s="30" customFormat="1" ht="60" x14ac:dyDescent="0.2">
      <c r="A74" s="19" t="str">
        <f>'START HERE'!$A$31</f>
        <v>REQU-03</v>
      </c>
      <c r="B74" s="20" t="str">
        <f>VLOOKUP($A74,'START HERE'!$A$13:$E$36,2,0)&amp;""</f>
        <v>Are you providing consulting services?</v>
      </c>
      <c r="C74" s="46" t="str">
        <f>VLOOKUP($A74,'START HERE'!$A$13:$E$36,3,0)&amp;""</f>
        <v>No</v>
      </c>
      <c r="D74" s="35" t="str">
        <f>IF(LEFT(VLOOKUP($A74,'START HERE'!$A$13:$E$36,5,0),21)='Auto Responses'!$A$32,'Auto Responses'!$A$33,VLOOKUP($A74,'START HERE'!$A$13:$E$36,4,0))&amp;""</f>
        <v/>
      </c>
      <c r="E74" s="331" t="str">
        <f>VLOOKUP($A74,'START HERE'!$A$13:$E$36,5,0)&amp;""</f>
        <v>DO NOT complete the Consulting section in the Case-Specific worksheet</v>
      </c>
      <c r="F74" s="189"/>
      <c r="G74" s="31" t="str">
        <f>VLOOKUP($A74,Questions!$A$2:$X$333,21,0)&amp;""</f>
        <v>Not scored</v>
      </c>
      <c r="H74" s="186"/>
      <c r="I74" s="46" t="str">
        <f>VLOOKUP($A74,Questions!$A$2:$X$333,23,0)&amp;""</f>
        <v/>
      </c>
      <c r="J74" s="186"/>
      <c r="K74" s="49" t="b">
        <v>0</v>
      </c>
      <c r="L74" s="56"/>
      <c r="M74" s="1"/>
    </row>
    <row r="75" spans="1:13" s="30" customFormat="1" ht="45" x14ac:dyDescent="0.2">
      <c r="A75" s="19" t="str">
        <f>'START HERE'!$A$32</f>
        <v>REQU-04</v>
      </c>
      <c r="B75" s="20" t="str">
        <f>VLOOKUP($A75,'START HERE'!$A$13:$E$36,2,0)&amp;""</f>
        <v>Does your solution have AI features, or are there plans to implement AI features in the next 12 months?</v>
      </c>
      <c r="C75" s="46" t="str">
        <f>VLOOKUP($A75,'START HERE'!$A$13:$E$36,3,0)&amp;""</f>
        <v>No</v>
      </c>
      <c r="D75" s="35" t="str">
        <f>IF(LEFT(VLOOKUP($A75,'START HERE'!$A$13:$E$36,5,0),21)='Auto Responses'!$A$32,'Auto Responses'!$A$33,VLOOKUP($A75,'START HERE'!$A$13:$E$36,4,0))&amp;""</f>
        <v/>
      </c>
      <c r="E75" s="331" t="str">
        <f>VLOOKUP($A75,'START HERE'!$A$13:$E$36,5,0)&amp;""</f>
        <v>DO NOT complete the Artificial Intelligence (AI) worksheet</v>
      </c>
      <c r="F75" s="189"/>
      <c r="G75" s="31" t="str">
        <f>VLOOKUP($A75,Questions!$A$2:$X$333,21,0)&amp;""</f>
        <v>Not scored</v>
      </c>
      <c r="H75" s="186"/>
      <c r="I75" s="46" t="str">
        <f>VLOOKUP($A75,Questions!$A$2:$X$333,23,0)&amp;""</f>
        <v/>
      </c>
      <c r="J75" s="186"/>
      <c r="K75" s="49" t="b">
        <v>0</v>
      </c>
      <c r="L75" s="56"/>
      <c r="M75" s="1"/>
    </row>
    <row r="76" spans="1:13" s="30" customFormat="1" ht="60" x14ac:dyDescent="0.2">
      <c r="A76" s="19" t="str">
        <f>'START HERE'!$A$33</f>
        <v>REQU-05</v>
      </c>
      <c r="B76" s="20" t="str">
        <f>VLOOKUP($A76,'START HERE'!$A$13:$E$36,2,0)&amp;""</f>
        <v>Does your solution process protected health information (PHI) or any data covered by the Health Insurance Portability and Accountability Act (HIPAA)?</v>
      </c>
      <c r="C76" s="46" t="str">
        <f>VLOOKUP($A76,'START HERE'!$A$13:$E$36,3,0)&amp;""</f>
        <v>No</v>
      </c>
      <c r="D76" s="35" t="str">
        <f>IF(LEFT(VLOOKUP($A76,'START HERE'!$A$13:$E$36,5,0),21)='Auto Responses'!$A$32,'Auto Responses'!$A$33,VLOOKUP($A76,'START HERE'!$A$13:$E$36,4,0))&amp;""</f>
        <v/>
      </c>
      <c r="E76" s="331" t="str">
        <f>VLOOKUP($A76,'START HERE'!$A$13:$E$36,5,0)&amp;""</f>
        <v>DO NOT complete the HIPAA section in the Case-Specific worksheet</v>
      </c>
      <c r="F76" s="189"/>
      <c r="G76" s="31" t="str">
        <f>VLOOKUP($A76,Questions!$A$2:$X$333,21,0)&amp;""</f>
        <v>Not scored</v>
      </c>
      <c r="H76" s="186"/>
      <c r="I76" s="46" t="str">
        <f>VLOOKUP($A76,Questions!$A$2:$X$333,23,0)&amp;""</f>
        <v/>
      </c>
      <c r="J76" s="186"/>
      <c r="K76" s="49" t="b">
        <v>0</v>
      </c>
      <c r="L76" s="56"/>
      <c r="M76" s="1"/>
    </row>
    <row r="77" spans="1:13" s="30" customFormat="1" ht="60" x14ac:dyDescent="0.2">
      <c r="A77" s="19" t="str">
        <f>'START HERE'!$A$34</f>
        <v>REQU-06</v>
      </c>
      <c r="B77" s="20" t="str">
        <f>VLOOKUP($A77,'START HERE'!$A$13:$E$36,2,0)&amp;""</f>
        <v>Is the solution designed to process, store, or transmit credit card information?</v>
      </c>
      <c r="C77" s="46" t="str">
        <f>VLOOKUP($A77,'START HERE'!$A$13:$E$36,3,0)&amp;""</f>
        <v>No</v>
      </c>
      <c r="D77" s="35" t="str">
        <f>IF(LEFT(VLOOKUP($A77,'START HERE'!$A$13:$E$36,5,0),21)='Auto Responses'!$A$32,'Auto Responses'!$A$33,VLOOKUP($A77,'START HERE'!$A$13:$E$36,4,0))&amp;""</f>
        <v/>
      </c>
      <c r="E77" s="331" t="str">
        <f>VLOOKUP($A77,'START HERE'!$A$13:$E$36,5,0)&amp;""</f>
        <v>DO NOT complete the PCI-DSS section in the Case-Specific worksheet</v>
      </c>
      <c r="F77" s="189"/>
      <c r="G77" s="31" t="str">
        <f>VLOOKUP($A77,Questions!$A$2:$X$333,21,0)&amp;""</f>
        <v>Not scored</v>
      </c>
      <c r="H77" s="186"/>
      <c r="I77" s="46" t="str">
        <f>VLOOKUP($A77,Questions!$A$2:$X$333,23,0)&amp;""</f>
        <v/>
      </c>
      <c r="J77" s="186"/>
      <c r="K77" s="49" t="b">
        <v>0</v>
      </c>
      <c r="L77" s="56"/>
      <c r="M77" s="1"/>
    </row>
    <row r="78" spans="1:13" s="30" customFormat="1" ht="60" x14ac:dyDescent="0.2">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6" t="str">
        <f>VLOOKUP($A78,'START HERE'!$A$13:$E$36,3,0)&amp;""</f>
        <v>No</v>
      </c>
      <c r="D78" s="35" t="str">
        <f>IF(LEFT(VLOOKUP($A78,'START HERE'!$A$13:$E$36,5,0),21)='Auto Responses'!$A$32,'Auto Responses'!$A$33,VLOOKUP($A78,'START HERE'!$A$13:$E$36,4,0))&amp;""</f>
        <v/>
      </c>
      <c r="E78" s="331" t="str">
        <f>VLOOKUP($A78,'START HERE'!$A$13:$E$36,5,0)&amp;""</f>
        <v>DO NOT complete the On-Prem section in the Case-Specific worksheet</v>
      </c>
      <c r="F78" s="189"/>
      <c r="G78" s="31" t="str">
        <f>VLOOKUP($A78,Questions!$A$2:$X$333,21,0)&amp;""</f>
        <v>Not scored</v>
      </c>
      <c r="H78" s="186"/>
      <c r="I78" s="46" t="str">
        <f>VLOOKUP($A78,Questions!$A$2:$X$333,23,0)&amp;""</f>
        <v/>
      </c>
      <c r="J78" s="186"/>
      <c r="K78" s="49" t="b">
        <v>0</v>
      </c>
      <c r="L78" s="56"/>
      <c r="M78" s="1"/>
    </row>
    <row r="79" spans="1:13" s="30" customFormat="1" ht="240.75" thickBot="1" x14ac:dyDescent="0.25">
      <c r="A79" s="19" t="str">
        <f>'START HERE'!$A$36</f>
        <v>REQU-08</v>
      </c>
      <c r="B79" s="20" t="str">
        <f>VLOOKUP($A79,'START HERE'!$A$13:$E$36,2,0)&amp;""</f>
        <v>Does your solution have access to personal or institutional data?</v>
      </c>
      <c r="C79" s="46" t="str">
        <f>VLOOKUP($A79,'START HERE'!$A$13:$E$36,3,0)&amp;""</f>
        <v>No</v>
      </c>
      <c r="D79" s="35" t="str">
        <f>IF(LEFT(VLOOKUP($A79,'START HERE'!$A$13:$E$36,5,0),21)='Auto Responses'!$A$32,'Auto Responses'!$A$33,VLOOKUP($A79,'START HERE'!$A$13:$E$36,4,0))&amp;""</f>
        <v>NSSE Shorts does not collect any personally identifiable student data. Institutions requesting student specific links are required to provide masked student IDs. See "Survey Administration Options" https://nsse.indiana.edu/nsse/nsse-shorts/NSSE-Shorts-Administration-Instructions.html</v>
      </c>
      <c r="E79" s="331" t="str">
        <f>VLOOKUP($A79,'START HERE'!$A$13:$E$36,5,0)&amp;""</f>
        <v>DO NOT complete the Privacy tab</v>
      </c>
      <c r="F79" s="195"/>
      <c r="G79" s="31" t="str">
        <f>VLOOKUP($A79,Questions!$A$2:$X$333,21,0)&amp;""</f>
        <v>Not scored</v>
      </c>
      <c r="H79" s="186"/>
      <c r="I79" s="46" t="str">
        <f>VLOOKUP($A79,Questions!$A$2:$X$333,23,0)&amp;""</f>
        <v/>
      </c>
      <c r="J79" s="186"/>
      <c r="K79" s="153" t="b">
        <v>0</v>
      </c>
      <c r="L79" s="56"/>
      <c r="M79" s="1"/>
    </row>
    <row r="80" spans="1:13" s="1" customFormat="1" ht="18" x14ac:dyDescent="0.2">
      <c r="A80" s="64" t="str">
        <f>VLOOKUP(LEFT($A81,4),'Auto Responses'!$N$4:$O$38,2,0)&amp;""</f>
        <v xml:space="preserve"> Documentation</v>
      </c>
      <c r="B80" s="23"/>
      <c r="C80" s="32"/>
      <c r="D80" s="32"/>
      <c r="E80" s="332"/>
      <c r="F80" s="133" t="s">
        <v>1066</v>
      </c>
      <c r="G80" s="336" t="s">
        <v>904</v>
      </c>
      <c r="H80" s="336" t="s">
        <v>906</v>
      </c>
      <c r="I80" s="336" t="s">
        <v>19</v>
      </c>
      <c r="J80" s="336" t="s">
        <v>891</v>
      </c>
      <c r="K80" s="32"/>
    </row>
    <row r="81" spans="1:12" s="30" customFormat="1" ht="150" x14ac:dyDescent="0.2">
      <c r="A81" s="19" t="str">
        <f>Organization!$A$22</f>
        <v>DOCU-01</v>
      </c>
      <c r="B81" s="20" t="str">
        <f>VLOOKUP($A81,Organization!$A$13:$E$67,2,0)&amp;""</f>
        <v>Do you have a well-documented business continuity plan (BCP), with a clear owner, that is tested annually?*</v>
      </c>
      <c r="C81" s="46" t="str">
        <f>VLOOKUP($A81,Organization!$A$13:$E$67,3,0)&amp;""</f>
        <v>No</v>
      </c>
      <c r="D81" s="35" t="str">
        <f>IF(LEFT(VLOOKUP($A81,Organization!$A$13:$E$67,5,0),21)='Auto Responses'!$A$32,'Auto Responses'!$A$33,VLOOKUP($A81,Organization!$A$13:$E$67,4,0))&amp;""</f>
        <v>NSSE Shorts as a project does not. HOWEVER, Qualtrics does; see Qualtrics HECVAT 2025 for more details: https://bcsse.iu.edu/doc/bcsse/Qualtrics%20HECVAT%202025.xlsx</v>
      </c>
      <c r="E81" s="331" t="str">
        <f>VLOOKUP($A81,Organization!$A$13:$E$67,5,0)&amp;""</f>
        <v/>
      </c>
      <c r="F81" s="196"/>
      <c r="G81" s="31" t="str">
        <f>VLOOKUP($A81,Questions!$A$2:$X$333,21,0)&amp;""</f>
        <v>Yes</v>
      </c>
      <c r="H81" s="186"/>
      <c r="I81" s="46" t="str">
        <f>VLOOKUP($A81,Questions!$A$2:$X$333,23,0)&amp;""</f>
        <v>Critical Importance</v>
      </c>
      <c r="J81" s="186"/>
      <c r="K81" s="49" t="b">
        <v>0</v>
      </c>
      <c r="L81" s="1"/>
    </row>
    <row r="82" spans="1:12" s="30" customFormat="1" ht="150" x14ac:dyDescent="0.2">
      <c r="A82" s="19" t="str">
        <f>Organization!$A$23</f>
        <v>DOCU-02</v>
      </c>
      <c r="B82" s="20" t="str">
        <f>VLOOKUP($A82,Organization!$A$13:$E$67,2,0)&amp;""</f>
        <v>Do you have a well-documented disaster recovery plan (DRP), with a clear owner, that is tested annually?*</v>
      </c>
      <c r="C82" s="46" t="str">
        <f>VLOOKUP($A82,Organization!$A$13:$E$67,3,0)&amp;""</f>
        <v>No</v>
      </c>
      <c r="D82" s="35" t="str">
        <f>IF(LEFT(VLOOKUP($A82,Organization!$A$13:$E$67,5,0),21)='Auto Responses'!$A$32,'Auto Responses'!$A$33,VLOOKUP($A82,Organization!$A$13:$E$67,4,0))&amp;""</f>
        <v>NSSE Shorts as a project does not. HOWEVER, Qualtrics does;  see Qualtrics HECVAT 2025 for more details: https://bcsse.iu.edu/doc/bcsse/Qualtrics%20HECVAT%202025.xlsx</v>
      </c>
      <c r="E82" s="331" t="str">
        <f>VLOOKUP($A82,Organization!$A$13:$E$67,5,0)&amp;""</f>
        <v/>
      </c>
      <c r="F82" s="196"/>
      <c r="G82" s="31" t="str">
        <f>VLOOKUP($A82,Questions!$A$2:$X$333,21,0)&amp;""</f>
        <v>Yes</v>
      </c>
      <c r="H82" s="186"/>
      <c r="I82" s="46" t="str">
        <f>VLOOKUP($A82,Questions!$A$2:$X$333,23,0)&amp;""</f>
        <v>Critical Importance</v>
      </c>
      <c r="J82" s="186"/>
      <c r="K82" s="49" t="b">
        <v>0</v>
      </c>
      <c r="L82" s="1"/>
    </row>
    <row r="83" spans="1:12" s="30" customFormat="1" ht="150" x14ac:dyDescent="0.2">
      <c r="A83" s="19" t="str">
        <f>Organization!$A$24</f>
        <v>DOCU-03</v>
      </c>
      <c r="B83" s="20" t="str">
        <f>VLOOKUP($A83,Organization!$A$13:$E$67,2,0)&amp;""</f>
        <v>Have you undergone a SSAE 18/SOC 2 audit?</v>
      </c>
      <c r="C83" s="46" t="str">
        <f>VLOOKUP($A83,Organization!$A$13:$E$67,3,0)&amp;""</f>
        <v>No</v>
      </c>
      <c r="D83" s="35" t="str">
        <f>IF(LEFT(VLOOKUP($A83,Organization!$A$13:$E$67,5,0),21)='Auto Responses'!$A$32,'Auto Responses'!$A$33,VLOOKUP($A83,Organization!$A$13:$E$67,4,0))&amp;""</f>
        <v>NSSE Shorts as a project does not. HOWEVER, Qualtrics does;  see Qualtrics HECVAT 2025 for more details: https://bcsse.iu.edu/doc/bcsse/Qualtrics%20HECVAT%202025.xlsx</v>
      </c>
      <c r="E83" s="331" t="str">
        <f>VLOOKUP($A83,Organization!$A$13:$E$67,5,0)&amp;""</f>
        <v>Describe any plans to undergo a SSAE 18 audit.</v>
      </c>
      <c r="F83" s="196"/>
      <c r="G83" s="31" t="str">
        <f>VLOOKUP($A83,Questions!$A$2:$X$333,21,0)&amp;""</f>
        <v>Yes</v>
      </c>
      <c r="H83" s="186"/>
      <c r="I83" s="46" t="str">
        <f>VLOOKUP($A83,Questions!$A$2:$X$333,23,0)&amp;""</f>
        <v>Standard Importance</v>
      </c>
      <c r="J83" s="186"/>
      <c r="K83" s="49" t="b">
        <v>0</v>
      </c>
      <c r="L83" s="1"/>
    </row>
    <row r="84" spans="1:12" s="30" customFormat="1" ht="120" x14ac:dyDescent="0.2">
      <c r="A84" s="19" t="str">
        <f>Organization!$A$25</f>
        <v>DOCU-04</v>
      </c>
      <c r="B84" s="20" t="str">
        <f>VLOOKUP($A84,Organization!$A$13:$E$67,2,0)&amp;""</f>
        <v>Do you conform with a specific industry standard security framework (e.g., NIST Cybersecurity Framework, CIS Controls, ISO 27001, etc.)?</v>
      </c>
      <c r="C84" s="46" t="str">
        <f>VLOOKUP($A84,Organization!$A$13:$E$67,3,0)&amp;""</f>
        <v>No</v>
      </c>
      <c r="D84" s="35" t="str">
        <f>IF(LEFT(VLOOKUP($A84,Organization!$A$13:$E$67,5,0),21)='Auto Responses'!$A$32,'Auto Responses'!$A$33,VLOOKUP($A84,Organization!$A$13:$E$67,4,0))&amp;""</f>
        <v>NSSE Shorts as a project does not. See Qualtrics HECVAT 2025 for more details: https://bcsse.iu.edu/doc/bcsse/Qualtrics%20HECVAT%202025.xlsx</v>
      </c>
      <c r="E84" s="331" t="str">
        <f>VLOOKUP($A84,Organization!$A$13:$E$67,5,0)&amp;""</f>
        <v>Describe any plans to conform to an industry standard security framework.</v>
      </c>
      <c r="F84" s="196"/>
      <c r="G84" s="31" t="str">
        <f>VLOOKUP($A84,Questions!$A$2:$X$333,21,0)&amp;""</f>
        <v>Yes</v>
      </c>
      <c r="H84" s="186"/>
      <c r="I84" s="46" t="str">
        <f>VLOOKUP($A84,Questions!$A$2:$X$333,23,0)&amp;""</f>
        <v>Standard Importance</v>
      </c>
      <c r="J84" s="186"/>
      <c r="K84" s="49" t="b">
        <v>0</v>
      </c>
      <c r="L84" s="1"/>
    </row>
    <row r="85" spans="1:12" s="30" customFormat="1" ht="120" x14ac:dyDescent="0.2">
      <c r="A85" s="19" t="str">
        <f>Organization!$A$26</f>
        <v>DOCU-05</v>
      </c>
      <c r="B85" s="20" t="str">
        <f>VLOOKUP($A85,Organization!$A$13:$E$67,2,0)&amp;""</f>
        <v>Can you provide overall system and/or application architecture diagrams, including a full description of the data flow for all components of the system?</v>
      </c>
      <c r="C85" s="46" t="str">
        <f>VLOOKUP($A85,Organization!$A$13:$E$67,3,0)&amp;""</f>
        <v>No</v>
      </c>
      <c r="D85" s="35" t="str">
        <f>IF(LEFT(VLOOKUP($A85,Organization!$A$13:$E$67,5,0),21)='Auto Responses'!$A$32,'Auto Responses'!$A$33,VLOOKUP($A85,Organization!$A$13:$E$67,4,0))&amp;""</f>
        <v>NSSE Shorts as a project does not. See Qualtrics HECVAT 2025 for more details: https://bcsse.iu.edu/doc/bcsse/Qualtrics%20HECVAT%202025.xlsx</v>
      </c>
      <c r="E85" s="331" t="str">
        <f>VLOOKUP($A85,Organization!$A$13:$E$67,5,0)&amp;""</f>
        <v>Provide a detailed summary of overall system and/or application architecture.</v>
      </c>
      <c r="F85" s="196"/>
      <c r="G85" s="31" t="str">
        <f>VLOOKUP($A85,Questions!$A$2:$X$333,21,0)&amp;""</f>
        <v>Yes</v>
      </c>
      <c r="H85" s="186"/>
      <c r="I85" s="46" t="str">
        <f>VLOOKUP($A85,Questions!$A$2:$X$333,23,0)&amp;""</f>
        <v>Standard Importance</v>
      </c>
      <c r="J85" s="186"/>
      <c r="K85" s="49" t="b">
        <v>0</v>
      </c>
      <c r="L85" s="1"/>
    </row>
    <row r="86" spans="1:12" s="30" customFormat="1" ht="270" x14ac:dyDescent="0.2">
      <c r="A86" s="19" t="str">
        <f>Organization!$A$27</f>
        <v>DOCU-06</v>
      </c>
      <c r="B86" s="20" t="str">
        <f>VLOOKUP($A86,Organization!$A$13:$E$67,2,0)&amp;""</f>
        <v>Does your organization have a data privacy policy?</v>
      </c>
      <c r="C86" s="46" t="str">
        <f>VLOOKUP($A86,Organization!$A$13:$E$67,3,0)&amp;""</f>
        <v>Yes</v>
      </c>
      <c r="D86" s="35" t="str">
        <f>IF(LEFT(VLOOKUP($A86,Organization!$A$13:$E$67,5,0),21)='Auto Responses'!$A$32,'Auto Responses'!$A$33,VLOOKUP($A86,Organization!$A$13:$E$67,4,0))&amp;""</f>
        <v>NSSE Shorts as part of the larger NSSE project and Indiana University, is required to undergo privacy training on a regular basis. See https://research.iu.edu/training/citi/index.html
Also, see Qualtrics HECVAT 2025 for more details: https://bcsse.iu.edu/doc/bcsse/Qualtrics%20HECVAT%202025.xlsx</v>
      </c>
      <c r="E86" s="331" t="str">
        <f>VLOOKUP($A86,Organization!$A$13:$E$67,5,0)&amp;""</f>
        <v>Provide your data privacy document (or a valid link to it) upon submission.</v>
      </c>
      <c r="F86" s="196"/>
      <c r="G86" s="31" t="str">
        <f>VLOOKUP($A86,Questions!$A$2:$X$333,21,0)&amp;""</f>
        <v>Yes</v>
      </c>
      <c r="H86" s="186"/>
      <c r="I86" s="46" t="str">
        <f>VLOOKUP($A86,Questions!$A$2:$X$333,23,0)&amp;""</f>
        <v>Standard Importance</v>
      </c>
      <c r="J86" s="186"/>
      <c r="K86" s="49" t="b">
        <v>0</v>
      </c>
      <c r="L86" s="1"/>
    </row>
    <row r="87" spans="1:12" s="30" customFormat="1" ht="195" x14ac:dyDescent="0.2">
      <c r="A87" s="19" t="str">
        <f>Organization!$A$28</f>
        <v>DOCU-07</v>
      </c>
      <c r="B87" s="20" t="str">
        <f>VLOOKUP($A87,Organization!$A$13:$E$67,2,0)&amp;""</f>
        <v>Do you have a documented, and currently implemented, employee onboarding and offboarding policy?</v>
      </c>
      <c r="C87" s="46" t="str">
        <f>VLOOKUP($A87,Organization!$A$13:$E$67,3,0)&amp;""</f>
        <v>Yes</v>
      </c>
      <c r="D87" s="35" t="str">
        <f>IF(LEFT(VLOOKUP($A87,Organization!$A$13:$E$67,5,0),21)='Auto Responses'!$A$32,'Auto Responses'!$A$33,VLOOKUP($A87,Organization!$A$13:$E$67,4,0))&amp;""</f>
        <v>NSSE Shorts as part of the larger NSSE project and Indiana University, has required onboarding training regarding data security policies and practices. Research staff who leave are immediately removed from any access to research data.</v>
      </c>
      <c r="E87" s="331" t="str">
        <f>VLOOKUP($A87,Organization!$A$13:$E$67,5,0)&amp;""</f>
        <v>Provide a reference to your employee onboarding and offboarding policy and supporting documentation or submit it along with this fully populated HECVAT.</v>
      </c>
      <c r="F87" s="196"/>
      <c r="G87" s="31" t="str">
        <f>VLOOKUP($A87,Questions!$A$2:$X$333,21,0)&amp;""</f>
        <v>Yes</v>
      </c>
      <c r="H87" s="186"/>
      <c r="I87" s="46" t="str">
        <f>VLOOKUP($A87,Questions!$A$2:$X$333,23,0)&amp;""</f>
        <v>Standard Importance</v>
      </c>
      <c r="J87" s="186"/>
      <c r="K87" s="49" t="b">
        <v>0</v>
      </c>
      <c r="L87" s="1"/>
    </row>
    <row r="88" spans="1:12" s="1" customFormat="1" ht="18" x14ac:dyDescent="0.2">
      <c r="A88" s="64" t="str">
        <f>VLOOKUP(LEFT($A89,4),'Auto Responses'!$N$4:$O$38,2,0)&amp;""</f>
        <v xml:space="preserve"> Assessment of Third Parties</v>
      </c>
      <c r="B88" s="23"/>
      <c r="C88" s="32"/>
      <c r="D88" s="32"/>
      <c r="E88" s="332"/>
      <c r="F88" s="133" t="s">
        <v>1066</v>
      </c>
      <c r="G88" s="336" t="s">
        <v>904</v>
      </c>
      <c r="H88" s="336" t="s">
        <v>906</v>
      </c>
      <c r="I88" s="336" t="s">
        <v>19</v>
      </c>
      <c r="J88" s="336" t="s">
        <v>891</v>
      </c>
      <c r="K88" s="32"/>
    </row>
    <row r="89" spans="1:12" s="30" customFormat="1" ht="120" x14ac:dyDescent="0.2">
      <c r="A89" s="19" t="str">
        <f>Organization!$A$30</f>
        <v>THRD-01</v>
      </c>
      <c r="B89" s="20" t="str">
        <f>VLOOKUP($A89,Organization!$A$13:$E$67,2,0)&amp;""</f>
        <v>Do you perform security assessments of third-party companies with which you share data (e.g., hosting providers, cloud services, PaaS, IaaS, SaaS)?*</v>
      </c>
      <c r="C89" s="46" t="str">
        <f>VLOOKUP($A89,Organization!$A$13:$E$67,3,0)&amp;""</f>
        <v>No</v>
      </c>
      <c r="D89" s="35" t="str">
        <f>IF(LEFT(VLOOKUP($A89,Organization!$A$13:$E$67,5,0),21)='Auto Responses'!$A$32,'Auto Responses'!$A$33,VLOOKUP($A89,Organization!$A$13:$E$67,4,0))&amp;""</f>
        <v>NSSE Shorts as a project does not. See Qualtrics HECVAT 2025 for more details: https://bcsse.iu.edu/doc/bcsse/Qualtrics%20HECVAT%202025.xlsx</v>
      </c>
      <c r="E89" s="331" t="str">
        <f>VLOOKUP($A89,Organization!$A$13:$E$67,5,0)&amp;""</f>
        <v>State your plans to perform security assessments of third-party companies.</v>
      </c>
      <c r="F89" s="196"/>
      <c r="G89" s="31" t="str">
        <f>VLOOKUP($A89,Questions!$A$2:$X$333,21,0)&amp;""</f>
        <v>Yes</v>
      </c>
      <c r="H89" s="186"/>
      <c r="I89" s="46" t="str">
        <f>VLOOKUP($A89,Questions!$A$2:$X$333,23,0)&amp;""</f>
        <v>Critical Importance</v>
      </c>
      <c r="J89" s="186"/>
      <c r="K89" s="49" t="b">
        <v>0</v>
      </c>
      <c r="L89" s="1"/>
    </row>
    <row r="90" spans="1:12" s="30" customFormat="1" ht="120" x14ac:dyDescent="0.2">
      <c r="A90" s="19" t="str">
        <f>Organization!$A$31</f>
        <v>THRD-02</v>
      </c>
      <c r="B90" s="20" t="str">
        <f>VLOOKUP($A90,Organization!$A$13:$E$67,2,0)&amp;""</f>
        <v>Do you have contractual language in place with third parties governing access to institutional data?*</v>
      </c>
      <c r="C90" s="46" t="str">
        <f>VLOOKUP($A90,Organization!$A$13:$E$67,3,0)&amp;""</f>
        <v>No</v>
      </c>
      <c r="D90" s="35" t="str">
        <f>IF(LEFT(VLOOKUP($A90,Organization!$A$13:$E$67,5,0),21)='Auto Responses'!$A$32,'Auto Responses'!$A$33,VLOOKUP($A90,Organization!$A$13:$E$67,4,0))&amp;""</f>
        <v>NSSE Shorts as a project does not. See Qualtrics HECVAT 2025 for more details: https://bcsse.iu.edu/doc/bcsse/Qualtrics%20HECVAT%202025.xlsx</v>
      </c>
      <c r="E90" s="331" t="str">
        <f>VLOOKUP($A90,Organization!$A$13:$E$67,5,0)&amp;""</f>
        <v>List each third party and why institutional data is shared with them. Format example: [Third Party Name] - Reason</v>
      </c>
      <c r="F90" s="196"/>
      <c r="G90" s="31" t="str">
        <f>VLOOKUP($A90,Questions!$A$2:$X$333,21,0)&amp;""</f>
        <v>Yes</v>
      </c>
      <c r="H90" s="186"/>
      <c r="I90" s="46" t="str">
        <f>VLOOKUP($A90,Questions!$A$2:$X$333,23,0)&amp;""</f>
        <v>Critical Importance</v>
      </c>
      <c r="J90" s="186"/>
      <c r="K90" s="49" t="b">
        <v>0</v>
      </c>
      <c r="L90" s="1"/>
    </row>
    <row r="91" spans="1:12" s="30" customFormat="1" ht="120" x14ac:dyDescent="0.2">
      <c r="A91" s="19" t="str">
        <f>Organization!$A$32</f>
        <v>THRD-03</v>
      </c>
      <c r="B91" s="20" t="str">
        <f>VLOOKUP($A91,Organization!$A$13:$E$67,2,0)&amp;""</f>
        <v>Do the contracts in place with these third parties address liability in the event of a data breach?*</v>
      </c>
      <c r="C91" s="46" t="str">
        <f>VLOOKUP($A91,Organization!$A$13:$E$67,3,0)&amp;""</f>
        <v>No</v>
      </c>
      <c r="D91" s="35" t="str">
        <f>IF(LEFT(VLOOKUP($A91,Organization!$A$13:$E$67,5,0),21)='Auto Responses'!$A$32,'Auto Responses'!$A$33,VLOOKUP($A91,Organization!$A$13:$E$67,4,0))&amp;""</f>
        <v>NSSE Shorts as a project does not. See Qualtrics HECVAT 2025 for more details: https://bcsse.iu.edu/doc/bcsse/Qualtrics%20HECVAT%202025.xlsx</v>
      </c>
      <c r="E91" s="331" t="str">
        <f>VLOOKUP($A91,Organization!$A$13:$E$67,5,0)&amp;""</f>
        <v/>
      </c>
      <c r="F91" s="196"/>
      <c r="G91" s="31" t="str">
        <f>VLOOKUP($A91,Questions!$A$2:$X$333,21,0)&amp;""</f>
        <v>Yes</v>
      </c>
      <c r="H91" s="186"/>
      <c r="I91" s="46" t="str">
        <f>VLOOKUP($A91,Questions!$A$2:$X$333,23,0)&amp;""</f>
        <v>Critical Importance</v>
      </c>
      <c r="J91" s="186"/>
      <c r="K91" s="49" t="b">
        <v>0</v>
      </c>
      <c r="L91" s="1"/>
    </row>
    <row r="92" spans="1:12" s="30" customFormat="1" ht="120" x14ac:dyDescent="0.2">
      <c r="A92" s="19" t="str">
        <f>Organization!$A$33</f>
        <v>THRD-04</v>
      </c>
      <c r="B92" s="20" t="str">
        <f>VLOOKUP($A92,Organization!$A$13:$E$67,2,0)&amp;""</f>
        <v>Do you have an implemented third-party management strategy?*</v>
      </c>
      <c r="C92" s="46" t="str">
        <f>VLOOKUP($A92,Organization!$A$13:$E$67,3,0)&amp;""</f>
        <v>No</v>
      </c>
      <c r="D92" s="35" t="str">
        <f>IF(LEFT(VLOOKUP($A92,Organization!$A$13:$E$67,5,0),21)='Auto Responses'!$A$32,'Auto Responses'!$A$33,VLOOKUP($A92,Organization!$A$13:$E$67,4,0))&amp;""</f>
        <v>NSSE Shorts as a project does not. See Qualtrics HECVAT 2025 for more details: https://bcsse.iu.edu/doc/bcsse/Qualtrics%20HECVAT%202025.xlsx</v>
      </c>
      <c r="E92" s="331" t="str">
        <f>VLOOKUP($A92,Organization!$A$13:$E$67,5,0)&amp;""</f>
        <v>State your plans to implement a third-party management strategy.</v>
      </c>
      <c r="F92" s="196"/>
      <c r="G92" s="31" t="str">
        <f>VLOOKUP($A92,Questions!$A$2:$X$333,21,0)&amp;""</f>
        <v>Yes</v>
      </c>
      <c r="H92" s="186"/>
      <c r="I92" s="46" t="str">
        <f>VLOOKUP($A92,Questions!$A$2:$X$333,23,0)&amp;""</f>
        <v>Critical Importance</v>
      </c>
      <c r="J92" s="186"/>
      <c r="K92" s="49" t="b">
        <v>0</v>
      </c>
      <c r="L92" s="1"/>
    </row>
    <row r="93" spans="1:12" s="30" customFormat="1" ht="120" x14ac:dyDescent="0.2">
      <c r="A93" s="19" t="str">
        <f>Organization!$A$34</f>
        <v>THRD-05</v>
      </c>
      <c r="B93" s="20" t="str">
        <f>VLOOKUP($A93,Organization!$A$13:$E$67,2,0)&amp;""</f>
        <v>Do you have a process and implemented procedures for managing your hardware supply chain (e.g., telecommunications equipment, export licensing, computing devices)?</v>
      </c>
      <c r="C93" s="46" t="str">
        <f>VLOOKUP($A93,Organization!$A$13:$E$67,3,0)&amp;""</f>
        <v>No</v>
      </c>
      <c r="D93" s="35" t="str">
        <f>IF(LEFT(VLOOKUP($A93,Organization!$A$13:$E$67,5,0),21)='Auto Responses'!$A$32,'Auto Responses'!$A$33,VLOOKUP($A93,Organization!$A$13:$E$67,4,0))&amp;""</f>
        <v>NSSE Shorts as a project does not. See Qualtrics HECVAT 2025 for more details: https://bcsse.iu.edu/doc/bcsse/Qualtrics%20HECVAT%202025.xlsx</v>
      </c>
      <c r="E93" s="331" t="str">
        <f>VLOOKUP($A93,Organization!$A$13:$E$67,5,0)&amp;""</f>
        <v>State your plans to create a process and implemented procedures for managing your hardware supply chain.</v>
      </c>
      <c r="F93" s="196"/>
      <c r="G93" s="31" t="str">
        <f>VLOOKUP($A93,Questions!$A$2:$X$333,21,0)&amp;""</f>
        <v>Yes</v>
      </c>
      <c r="H93" s="186"/>
      <c r="I93" s="46" t="str">
        <f>VLOOKUP($A93,Questions!$A$2:$X$333,23,0)&amp;""</f>
        <v>Standard Importance</v>
      </c>
      <c r="J93" s="186"/>
      <c r="K93" s="49" t="b">
        <v>0</v>
      </c>
      <c r="L93" s="1"/>
    </row>
    <row r="94" spans="1:12" s="1" customFormat="1" ht="18" x14ac:dyDescent="0.2">
      <c r="A94" s="64" t="str">
        <f>VLOOKUP(LEFT($A95,4),'Auto Responses'!$N$4:$O$38,2,0)&amp;""</f>
        <v xml:space="preserve"> Change Management</v>
      </c>
      <c r="B94" s="23"/>
      <c r="C94" s="32"/>
      <c r="D94" s="32"/>
      <c r="E94" s="332"/>
      <c r="F94" s="133" t="s">
        <v>1066</v>
      </c>
      <c r="G94" s="336" t="s">
        <v>904</v>
      </c>
      <c r="H94" s="336" t="s">
        <v>906</v>
      </c>
      <c r="I94" s="336" t="s">
        <v>19</v>
      </c>
      <c r="J94" s="336" t="s">
        <v>891</v>
      </c>
      <c r="K94" s="32"/>
    </row>
    <row r="95" spans="1:12" s="30" customFormat="1" ht="75" x14ac:dyDescent="0.2">
      <c r="A95" s="19" t="str">
        <f>Organization!$A$36</f>
        <v>CHNG-01</v>
      </c>
      <c r="B95" s="20" t="str">
        <f>VLOOKUP($A95,Organization!$A$13:$E$67,2,0)&amp;""</f>
        <v>Will the institution be notified of major changes to your environment that could impact the institution's security posture?*</v>
      </c>
      <c r="C95" s="46" t="str">
        <f>VLOOKUP($A95,Organization!$A$13:$E$67,3,0)&amp;""</f>
        <v>Yes</v>
      </c>
      <c r="D95" s="35" t="str">
        <f>IF(LEFT(VLOOKUP($A95,Organization!$A$13:$E$67,5,0),21)='Auto Responses'!$A$32,'Auto Responses'!$A$33,VLOOKUP($A95,Organization!$A$13:$E$67,4,0))&amp;""</f>
        <v/>
      </c>
      <c r="E95" s="331" t="str">
        <f>VLOOKUP($A95,Organization!$A$13:$E$67,5,0)&amp;""</f>
        <v>State how and when the institution will be notified of major changes to your environment.</v>
      </c>
      <c r="F95" s="196"/>
      <c r="G95" s="31" t="str">
        <f>VLOOKUP($A95,Questions!$A$2:$X$333,21,0)&amp;""</f>
        <v>Yes</v>
      </c>
      <c r="H95" s="186"/>
      <c r="I95" s="46" t="str">
        <f>VLOOKUP($A95,Questions!$A$2:$X$333,23,0)&amp;""</f>
        <v>Critical Importance</v>
      </c>
      <c r="J95" s="186"/>
      <c r="K95" s="49" t="b">
        <v>0</v>
      </c>
      <c r="L95" s="1"/>
    </row>
    <row r="96" spans="1:12" s="30" customFormat="1" ht="105" x14ac:dyDescent="0.2">
      <c r="A96" s="19" t="str">
        <f>Organization!$A$37</f>
        <v>CHNG-02</v>
      </c>
      <c r="B96" s="20" t="str">
        <f>VLOOKUP($A96,Organization!$A$13:$E$67,2,0)&amp;""</f>
        <v>Does the system support client customizations from one release to another?*</v>
      </c>
      <c r="C96" s="46" t="str">
        <f>VLOOKUP($A96,Organization!$A$13:$E$67,3,0)&amp;""</f>
        <v>No</v>
      </c>
      <c r="D96" s="35" t="str">
        <f>IF(LEFT(VLOOKUP($A96,Organization!$A$13:$E$67,5,0),21)='Auto Responses'!$A$32,'Auto Responses'!$A$33,VLOOKUP($A96,Organization!$A$13:$E$67,4,0))&amp;""</f>
        <v>Only one version of the Qualtrics platform is available. Upgrades and fixes to the platform are implemented across all customers.</v>
      </c>
      <c r="E96" s="331" t="str">
        <f>VLOOKUP($A96,Organization!$A$13:$E$67,5,0)&amp;""</f>
        <v>Clarify the lack of support strategy for client customizations from one release to another.</v>
      </c>
      <c r="F96" s="196"/>
      <c r="G96" s="31" t="str">
        <f>VLOOKUP($A96,Questions!$A$2:$X$333,21,0)&amp;""</f>
        <v>Yes</v>
      </c>
      <c r="H96" s="186"/>
      <c r="I96" s="46" t="str">
        <f>VLOOKUP($A96,Questions!$A$2:$X$333,23,0)&amp;""</f>
        <v>Critical Importance</v>
      </c>
      <c r="J96" s="186"/>
      <c r="K96" s="49" t="b">
        <v>0</v>
      </c>
      <c r="L96" s="1"/>
    </row>
    <row r="97" spans="1:12" s="30" customFormat="1" ht="120" x14ac:dyDescent="0.2">
      <c r="A97" s="19" t="str">
        <f>Organization!$A$38</f>
        <v>CHNG-03</v>
      </c>
      <c r="B97" s="20" t="str">
        <f>VLOOKUP($A97,Organization!$A$13:$E$67,2,0)&amp;""</f>
        <v>Do you have an implemented system configuration management process (e.g.,secure "gold" images, etc.)?*</v>
      </c>
      <c r="C97" s="46" t="str">
        <f>VLOOKUP($A97,Organization!$A$13:$E$67,3,0)&amp;""</f>
        <v>No</v>
      </c>
      <c r="D97" s="35" t="str">
        <f>IF(LEFT(VLOOKUP($A97,Organization!$A$13:$E$67,5,0),21)='Auto Responses'!$A$32,'Auto Responses'!$A$33,VLOOKUP($A97,Organization!$A$13:$E$67,4,0))&amp;""</f>
        <v>NSSE Shorts as a project does not. See Qualtrics HECVAT 2025 for more details: https://bcsse.iu.edu/doc/bcsse/Qualtrics%20HECVAT%202025.xlsx</v>
      </c>
      <c r="E97" s="331" t="str">
        <f>VLOOKUP($A97,Organization!$A$13:$E$67,5,0)&amp;""</f>
        <v>Describe how system configuration management is currently handled in your environment.</v>
      </c>
      <c r="F97" s="196"/>
      <c r="G97" s="31" t="str">
        <f>VLOOKUP($A97,Questions!$A$2:$X$333,21,0)&amp;""</f>
        <v>Yes</v>
      </c>
      <c r="H97" s="186"/>
      <c r="I97" s="46" t="str">
        <f>VLOOKUP($A97,Questions!$A$2:$X$333,23,0)&amp;""</f>
        <v>Critical Importance</v>
      </c>
      <c r="J97" s="186"/>
      <c r="K97" s="49" t="b">
        <v>0</v>
      </c>
      <c r="L97" s="1"/>
    </row>
    <row r="98" spans="1:12" s="30" customFormat="1" ht="120" x14ac:dyDescent="0.2">
      <c r="A98" s="19" t="str">
        <f>Organization!$A$39</f>
        <v>CHNG-04</v>
      </c>
      <c r="B98" s="20" t="str">
        <f>VLOOKUP($A98,Organization!$A$13:$E$67,2,0)&amp;""</f>
        <v>Do you have a documented change management process?</v>
      </c>
      <c r="C98" s="46" t="str">
        <f>VLOOKUP($A98,Organization!$A$13:$E$67,3,0)&amp;""</f>
        <v>No</v>
      </c>
      <c r="D98" s="35" t="str">
        <f>IF(LEFT(VLOOKUP($A98,Organization!$A$13:$E$67,5,0),21)='Auto Responses'!$A$32,'Auto Responses'!$A$33,VLOOKUP($A98,Organization!$A$13:$E$67,4,0))&amp;""</f>
        <v>NSSE Shorts as a project does not. See Qualtrics HECVAT 2025 for more details: https://bcsse.iu.edu/doc/bcsse/Qualtrics%20HECVAT%202025.xlsx</v>
      </c>
      <c r="E98" s="331" t="str">
        <f>VLOOKUP($A98,Organization!$A$13:$E$67,5,0)&amp;""</f>
        <v>Briefly summarize your response.</v>
      </c>
      <c r="F98" s="196"/>
      <c r="G98" s="31" t="str">
        <f>VLOOKUP($A98,Questions!$A$2:$X$333,21,0)&amp;""</f>
        <v>Yes</v>
      </c>
      <c r="H98" s="186"/>
      <c r="I98" s="46" t="str">
        <f>VLOOKUP($A98,Questions!$A$2:$X$333,23,0)&amp;""</f>
        <v>Standard Importance</v>
      </c>
      <c r="J98" s="186"/>
      <c r="K98" s="49" t="b">
        <v>0</v>
      </c>
      <c r="L98" s="1"/>
    </row>
    <row r="99" spans="1:12" s="30" customFormat="1" ht="120" x14ac:dyDescent="0.2">
      <c r="A99" s="19" t="str">
        <f>Organization!$A$40</f>
        <v>CHNG-05</v>
      </c>
      <c r="B99" s="20" t="str">
        <f>VLOOKUP($A99,Organization!$A$13:$E$67,2,0)&amp;""</f>
        <v>Does your change management process minimally include authorization, impact analysis, testing, and validation before moving changes to production?</v>
      </c>
      <c r="C99" s="46" t="str">
        <f>VLOOKUP($A99,Organization!$A$13:$E$67,3,0)&amp;""</f>
        <v>No</v>
      </c>
      <c r="D99" s="35" t="str">
        <f>IF(LEFT(VLOOKUP($A99,Organization!$A$13:$E$67,5,0),21)='Auto Responses'!$A$32,'Auto Responses'!$A$33,VLOOKUP($A99,Organization!$A$13:$E$67,4,0))&amp;""</f>
        <v>NSSE Shorts as a project does not. See Qualtrics HECVAT 2025 for more details: https://bcsse.iu.edu/doc/bcsse/Qualtrics%20HECVAT%202025.xlsx</v>
      </c>
      <c r="E99" s="331" t="str">
        <f>VLOOKUP($A99,Organization!$A$13:$E$67,5,0)&amp;""</f>
        <v>State your plans to implement change management in your environment or clarify what your change management processes do include.</v>
      </c>
      <c r="F99" s="196"/>
      <c r="G99" s="31" t="str">
        <f>VLOOKUP($A99,Questions!$A$2:$X$333,21,0)&amp;""</f>
        <v>Yes</v>
      </c>
      <c r="H99" s="186"/>
      <c r="I99" s="46" t="str">
        <f>VLOOKUP($A99,Questions!$A$2:$X$333,23,0)&amp;""</f>
        <v>Standard Importance</v>
      </c>
      <c r="J99" s="186"/>
      <c r="K99" s="49" t="b">
        <v>0</v>
      </c>
      <c r="L99" s="1"/>
    </row>
    <row r="100" spans="1:12" s="30" customFormat="1" ht="120" x14ac:dyDescent="0.2">
      <c r="A100" s="19" t="str">
        <f>Organization!$A$41</f>
        <v>CHNG-06</v>
      </c>
      <c r="B100" s="20" t="str">
        <f>VLOOKUP($A100,Organization!$A$13:$E$67,2,0)&amp;""</f>
        <v>Does your change management process verify that all required third-party libraries and dependencies are still supported with each major change?</v>
      </c>
      <c r="C100" s="46" t="str">
        <f>VLOOKUP($A100,Organization!$A$13:$E$67,3,0)&amp;""</f>
        <v>No</v>
      </c>
      <c r="D100" s="35" t="str">
        <f>IF(LEFT(VLOOKUP($A100,Organization!$A$13:$E$67,5,0),21)='Auto Responses'!$A$32,'Auto Responses'!$A$33,VLOOKUP($A100,Organization!$A$13:$E$67,4,0))&amp;""</f>
        <v>NSSE Shorts as a project does not. See Qualtrics HECVAT 2025 for more details: https://bcsse.iu.edu/doc/bcsse/Qualtrics%20HECVAT%202025.xlsx</v>
      </c>
      <c r="E100" s="331" t="str">
        <f>VLOOKUP($A100,Organization!$A$13:$E$67,5,0)&amp;""</f>
        <v>Please describe any plans to implement third-party library dependancy tracking.</v>
      </c>
      <c r="F100" s="196"/>
      <c r="G100" s="31" t="str">
        <f>VLOOKUP($A100,Questions!$A$2:$X$333,21,0)&amp;""</f>
        <v>Yes</v>
      </c>
      <c r="H100" s="186"/>
      <c r="I100" s="46" t="str">
        <f>VLOOKUP($A100,Questions!$A$2:$X$333,23,0)&amp;""</f>
        <v>Standard Importance</v>
      </c>
      <c r="J100" s="186"/>
      <c r="K100" s="49" t="b">
        <v>0</v>
      </c>
      <c r="L100" s="1"/>
    </row>
    <row r="101" spans="1:12" s="30" customFormat="1" ht="120" x14ac:dyDescent="0.2">
      <c r="A101" s="19" t="str">
        <f>Organization!$A$42</f>
        <v>CHNG-07</v>
      </c>
      <c r="B101" s="20" t="str">
        <f>VLOOKUP($A101,Organization!$A$13:$E$67,2,0)&amp;""</f>
        <v>Do you have policy and procedure, currently implemented, managing how critical patches are applied to all systems and applications?</v>
      </c>
      <c r="C101" s="46" t="str">
        <f>VLOOKUP($A101,Organization!$A$13:$E$67,3,0)&amp;""</f>
        <v>No</v>
      </c>
      <c r="D101" s="35" t="str">
        <f>IF(LEFT(VLOOKUP($A101,Organization!$A$13:$E$67,5,0),21)='Auto Responses'!$A$32,'Auto Responses'!$A$33,VLOOKUP($A101,Organization!$A$13:$E$67,4,0))&amp;""</f>
        <v>NSSE Shorts as a project does not. See Qualtrics HECVAT 2025 for more details: https://bcsse.iu.edu/doc/bcsse/Qualtrics%20HECVAT%202025.xlsx</v>
      </c>
      <c r="E101" s="331" t="str">
        <f>VLOOKUP($A101,Organization!$A$13:$E$67,5,0)&amp;""</f>
        <v>State your plans to implement policy and procedure(s) to manage how critical patches are applied to systems and applications.</v>
      </c>
      <c r="F101" s="196"/>
      <c r="G101" s="31" t="str">
        <f>VLOOKUP($A101,Questions!$A$2:$X$333,21,0)&amp;""</f>
        <v>Yes</v>
      </c>
      <c r="H101" s="186"/>
      <c r="I101" s="46" t="str">
        <f>VLOOKUP($A101,Questions!$A$2:$X$333,23,0)&amp;""</f>
        <v>Standard Importance</v>
      </c>
      <c r="J101" s="186"/>
      <c r="K101" s="49" t="b">
        <v>0</v>
      </c>
      <c r="L101" s="1"/>
    </row>
    <row r="102" spans="1:12" s="30" customFormat="1" ht="120" x14ac:dyDescent="0.2">
      <c r="A102" s="19" t="str">
        <f>Organization!$A$43</f>
        <v>CHNG-08</v>
      </c>
      <c r="B102" s="20" t="str">
        <f>VLOOKUP($A102,Organization!$A$13:$E$67,2,0)&amp;""</f>
        <v>Have you implemented policies and procedures that guide how security risks are mitigated until patches can be applied?</v>
      </c>
      <c r="C102" s="46" t="str">
        <f>VLOOKUP($A102,Organization!$A$13:$E$67,3,0)&amp;""</f>
        <v>No</v>
      </c>
      <c r="D102" s="35" t="str">
        <f>IF(LEFT(VLOOKUP($A102,Organization!$A$13:$E$67,5,0),21)='Auto Responses'!$A$32,'Auto Responses'!$A$33,VLOOKUP($A102,Organization!$A$13:$E$67,4,0))&amp;""</f>
        <v>NSSE Shorts as a project does not. See Qualtrics HECVAT 2025 for more details: https://bcsse.iu.edu/doc/bcsse/Qualtrics%20HECVAT%202025.xlsx</v>
      </c>
      <c r="E102" s="331" t="str">
        <f>VLOOKUP($A102,Organization!$A$13:$E$67,5,0)&amp;""</f>
        <v>State your plans to implement policy and procedure(s) guiding risk mitigation practices before critical patches can be applied.</v>
      </c>
      <c r="F102" s="196"/>
      <c r="G102" s="31" t="str">
        <f>VLOOKUP($A102,Questions!$A$2:$X$333,21,0)&amp;""</f>
        <v>Yes</v>
      </c>
      <c r="H102" s="186"/>
      <c r="I102" s="46" t="str">
        <f>VLOOKUP($A102,Questions!$A$2:$X$333,23,0)&amp;""</f>
        <v>Standard Importance</v>
      </c>
      <c r="J102" s="186"/>
      <c r="K102" s="49" t="b">
        <v>0</v>
      </c>
      <c r="L102" s="1"/>
    </row>
    <row r="103" spans="1:12" s="30" customFormat="1" ht="120" x14ac:dyDescent="0.2">
      <c r="A103" s="19" t="str">
        <f>Organization!$A$44</f>
        <v>CHNG-09</v>
      </c>
      <c r="B103" s="20" t="str">
        <f>VLOOKUP($A103,Organization!$A$13:$E$67,2,0)&amp;""</f>
        <v>Do clients have the option to not participate in or postpone an upgrade to a new release?</v>
      </c>
      <c r="C103" s="46" t="str">
        <f>VLOOKUP($A103,Organization!$A$13:$E$67,3,0)&amp;""</f>
        <v>No</v>
      </c>
      <c r="D103" s="35" t="str">
        <f>IF(LEFT(VLOOKUP($A103,Organization!$A$13:$E$67,5,0),21)='Auto Responses'!$A$32,'Auto Responses'!$A$33,VLOOKUP($A103,Organization!$A$13:$E$67,4,0))&amp;""</f>
        <v>NSSE Shorts as a project does not. See Qualtrics HECVAT 2025 for more details: https://bcsse.iu.edu/doc/bcsse/Qualtrics%20HECVAT%202025.xlsx</v>
      </c>
      <c r="E103" s="331" t="str">
        <f>VLOOKUP($A103,Organization!$A$13:$E$67,5,0)&amp;""</f>
        <v>Summarize why clients do not have alternative release options.</v>
      </c>
      <c r="F103" s="196"/>
      <c r="G103" s="31" t="str">
        <f>VLOOKUP($A103,Questions!$A$2:$X$333,21,0)&amp;""</f>
        <v>Yes</v>
      </c>
      <c r="H103" s="186"/>
      <c r="I103" s="46" t="str">
        <f>VLOOKUP($A103,Questions!$A$2:$X$333,23,0)&amp;""</f>
        <v>Minor Importance</v>
      </c>
      <c r="J103" s="186"/>
      <c r="K103" s="49" t="b">
        <v>0</v>
      </c>
      <c r="L103" s="1"/>
    </row>
    <row r="104" spans="1:12" s="30" customFormat="1" ht="120" x14ac:dyDescent="0.2">
      <c r="A104" s="19" t="str">
        <f>Organization!$A$45</f>
        <v>CHNG-10</v>
      </c>
      <c r="B104" s="20" t="str">
        <f>VLOOKUP($A104,Organization!$A$13:$E$67,2,0)&amp;""</f>
        <v>Do you have a fully implemented solution support strategy that defines how many concurrent versions you support?</v>
      </c>
      <c r="C104" s="46" t="str">
        <f>VLOOKUP($A104,Organization!$A$13:$E$67,3,0)&amp;""</f>
        <v>No</v>
      </c>
      <c r="D104" s="35" t="str">
        <f>IF(LEFT(VLOOKUP($A104,Organization!$A$13:$E$67,5,0),21)='Auto Responses'!$A$32,'Auto Responses'!$A$33,VLOOKUP($A104,Organization!$A$13:$E$67,4,0))&amp;""</f>
        <v>NSSE Shorts as a project does not. See Qualtrics HECVAT 2025 for more details: https://bcsse.iu.edu/doc/bcsse/Qualtrics%20HECVAT%202025.xlsx</v>
      </c>
      <c r="E104" s="331" t="str">
        <f>VLOOKUP($A104,Organization!$A$13:$E$67,5,0)&amp;""</f>
        <v>Clarify the lack of support strategy for concurrent versions in your solution.</v>
      </c>
      <c r="F104" s="196"/>
      <c r="G104" s="31" t="str">
        <f>VLOOKUP($A104,Questions!$A$2:$X$333,21,0)&amp;""</f>
        <v>Yes</v>
      </c>
      <c r="H104" s="186"/>
      <c r="I104" s="46" t="str">
        <f>VLOOKUP($A104,Questions!$A$2:$X$333,23,0)&amp;""</f>
        <v>Minor Importance</v>
      </c>
      <c r="J104" s="186"/>
      <c r="K104" s="49" t="b">
        <v>0</v>
      </c>
      <c r="L104" s="1"/>
    </row>
    <row r="105" spans="1:12" s="30" customFormat="1" ht="120" x14ac:dyDescent="0.2">
      <c r="A105" s="19" t="str">
        <f>Organization!$A$46</f>
        <v>CHNG-11</v>
      </c>
      <c r="B105" s="20" t="str">
        <f>VLOOKUP($A105,Organization!$A$13:$E$67,2,0)&amp;""</f>
        <v>Do you have a release schedule for product updates?</v>
      </c>
      <c r="C105" s="46" t="str">
        <f>VLOOKUP($A105,Organization!$A$13:$E$67,3,0)&amp;""</f>
        <v>No</v>
      </c>
      <c r="D105" s="35" t="str">
        <f>IF(LEFT(VLOOKUP($A105,Organization!$A$13:$E$67,5,0),21)='Auto Responses'!$A$32,'Auto Responses'!$A$33,VLOOKUP($A105,Organization!$A$13:$E$67,4,0))&amp;""</f>
        <v>NSSE Shorts as a project does not. See Qualtrics HECVAT 2025 for more details: https://bcsse.iu.edu/doc/bcsse/Qualtrics%20HECVAT%202025.xlsx</v>
      </c>
      <c r="E105" s="331" t="str">
        <f>VLOOKUP($A105,Organization!$A$13:$E$67,5,0)&amp;""</f>
        <v>State any plans to release a schedule of product updates.</v>
      </c>
      <c r="F105" s="196"/>
      <c r="G105" s="31" t="str">
        <f>VLOOKUP($A105,Questions!$A$2:$X$333,21,0)&amp;""</f>
        <v>Yes</v>
      </c>
      <c r="H105" s="186"/>
      <c r="I105" s="46" t="str">
        <f>VLOOKUP($A105,Questions!$A$2:$X$333,23,0)&amp;""</f>
        <v>Minor Importance</v>
      </c>
      <c r="J105" s="186"/>
      <c r="K105" s="49" t="b">
        <v>0</v>
      </c>
      <c r="L105" s="1"/>
    </row>
    <row r="106" spans="1:12" s="30" customFormat="1" ht="120" x14ac:dyDescent="0.2">
      <c r="A106" s="19" t="str">
        <f>Organization!$A$47</f>
        <v>CHNG-12</v>
      </c>
      <c r="B106" s="20" t="str">
        <f>VLOOKUP($A106,Organization!$A$13:$E$67,2,0)&amp;""</f>
        <v>Do you have a technology roadmap, for at least the next two years, for enhancements and bug fixes for the solution being assessed?</v>
      </c>
      <c r="C106" s="46" t="str">
        <f>VLOOKUP($A106,Organization!$A$13:$E$67,3,0)&amp;""</f>
        <v>No</v>
      </c>
      <c r="D106" s="35" t="str">
        <f>IF(LEFT(VLOOKUP($A106,Organization!$A$13:$E$67,5,0),21)='Auto Responses'!$A$32,'Auto Responses'!$A$33,VLOOKUP($A106,Organization!$A$13:$E$67,4,0))&amp;""</f>
        <v>NSSE Shorts as a project does not. See Qualtrics HECVAT 2025 for more details: https://bcsse.iu.edu/doc/bcsse/Qualtrics%20HECVAT%202025.xlsx</v>
      </c>
      <c r="E106" s="331" t="str">
        <f>VLOOKUP($A106,Organization!$A$13:$E$67,5,0)&amp;""</f>
        <v>State any plans to release a technology roadmap covering the next two years.</v>
      </c>
      <c r="F106" s="196"/>
      <c r="G106" s="31" t="str">
        <f>VLOOKUP($A106,Questions!$A$2:$X$333,21,0)&amp;""</f>
        <v>Yes</v>
      </c>
      <c r="H106" s="186"/>
      <c r="I106" s="46" t="str">
        <f>VLOOKUP($A106,Questions!$A$2:$X$333,23,0)&amp;""</f>
        <v>Minor Importance</v>
      </c>
      <c r="J106" s="186"/>
      <c r="K106" s="49" t="b">
        <v>0</v>
      </c>
      <c r="L106" s="1"/>
    </row>
    <row r="107" spans="1:12" s="30" customFormat="1" ht="28.5" x14ac:dyDescent="0.2">
      <c r="A107" s="19" t="str">
        <f>Organization!$A$48</f>
        <v>CHNG-13</v>
      </c>
      <c r="B107" s="20" t="str">
        <f>VLOOKUP($A107,Organization!$A$13:$E$67,2,0)&amp;""</f>
        <v>Can solution updates be completed without institutional involvement (i.e., technically or organizationally)?</v>
      </c>
      <c r="C107" s="46" t="str">
        <f>VLOOKUP($A107,Organization!$A$13:$E$67,3,0)&amp;""</f>
        <v>Yes</v>
      </c>
      <c r="D107" s="35" t="str">
        <f>IF(LEFT(VLOOKUP($A107,Organization!$A$13:$E$67,5,0),21)='Auto Responses'!$A$32,'Auto Responses'!$A$33,VLOOKUP($A107,Organization!$A$13:$E$67,4,0))&amp;""</f>
        <v/>
      </c>
      <c r="E107" s="331" t="str">
        <f>VLOOKUP($A107,Organization!$A$13:$E$67,5,0)&amp;""</f>
        <v/>
      </c>
      <c r="F107" s="196"/>
      <c r="G107" s="31" t="str">
        <f>VLOOKUP($A107,Questions!$A$2:$X$333,21,0)&amp;""</f>
        <v>Yes</v>
      </c>
      <c r="H107" s="186"/>
      <c r="I107" s="46" t="str">
        <f>VLOOKUP($A107,Questions!$A$2:$X$333,23,0)&amp;""</f>
        <v>Minor Importance</v>
      </c>
      <c r="J107" s="186"/>
      <c r="K107" s="49" t="b">
        <v>0</v>
      </c>
      <c r="L107" s="1"/>
    </row>
    <row r="108" spans="1:12" s="30" customFormat="1" ht="75" x14ac:dyDescent="0.2">
      <c r="A108" s="19" t="str">
        <f>Organization!$A$49</f>
        <v>CHNG-14</v>
      </c>
      <c r="B108" s="20" t="str">
        <f>VLOOKUP($A108,Organization!$A$13:$E$67,2,0)&amp;""</f>
        <v>Are upgrades or system changes installed during off-peak hours or in a manner that does not impact the customer?</v>
      </c>
      <c r="C108" s="46" t="str">
        <f>VLOOKUP($A108,Organization!$A$13:$E$67,3,0)&amp;""</f>
        <v>No</v>
      </c>
      <c r="D108" s="35" t="str">
        <f>IF(LEFT(VLOOKUP($A108,Organization!$A$13:$E$67,5,0),21)='Auto Responses'!$A$32,'Auto Responses'!$A$33,VLOOKUP($A108,Organization!$A$13:$E$67,4,0))&amp;""</f>
        <v>Sometimes for NSSE Shorts, needed updates will be made during regular business hours</v>
      </c>
      <c r="E108" s="331" t="str">
        <f>VLOOKUP($A108,Organization!$A$13:$E$67,5,0)&amp;""</f>
        <v>Decribe plans to minimize the impact of downtime based on predefined off-peak hours.</v>
      </c>
      <c r="F108" s="196"/>
      <c r="G108" s="31" t="str">
        <f>VLOOKUP($A108,Questions!$A$2:$X$333,21,0)&amp;""</f>
        <v>Yes</v>
      </c>
      <c r="H108" s="186"/>
      <c r="I108" s="46" t="str">
        <f>VLOOKUP($A108,Questions!$A$2:$X$333,23,0)&amp;""</f>
        <v>Minor Importance</v>
      </c>
      <c r="J108" s="186"/>
      <c r="K108" s="49" t="b">
        <v>0</v>
      </c>
      <c r="L108" s="1"/>
    </row>
    <row r="109" spans="1:12" s="30" customFormat="1" ht="105" x14ac:dyDescent="0.2">
      <c r="A109" s="19" t="str">
        <f>Organization!$A$50</f>
        <v>CHNG-15</v>
      </c>
      <c r="B109" s="20" t="str">
        <f>VLOOKUP($A109,Organization!$A$13:$E$67,2,0)&amp;""</f>
        <v>Do procedures exist to provide that emergency changes are documented and authorized (including after-the-fact approval)?</v>
      </c>
      <c r="C109" s="46" t="str">
        <f>VLOOKUP($A109,Organization!$A$13:$E$67,3,0)&amp;""</f>
        <v>Yes</v>
      </c>
      <c r="D109" s="35" t="str">
        <f>IF(LEFT(VLOOKUP($A109,Organization!$A$13:$E$67,5,0),21)='Auto Responses'!$A$32,'Auto Responses'!$A$33,VLOOKUP($A109,Organization!$A$13:$E$67,4,0))&amp;""</f>
        <v>Project director and manager authorize all needed updates</v>
      </c>
      <c r="E109" s="331" t="str">
        <f>VLOOKUP($A109,Organization!$A$13:$E$67,5,0)&amp;""</f>
        <v>Summarize implemented procedures ensuring that emergency changes are documented and authorized.</v>
      </c>
      <c r="F109" s="196"/>
      <c r="G109" s="31" t="str">
        <f>VLOOKUP($A109,Questions!$A$2:$X$333,21,0)&amp;""</f>
        <v>Yes</v>
      </c>
      <c r="H109" s="186"/>
      <c r="I109" s="46" t="str">
        <f>VLOOKUP($A109,Questions!$A$2:$X$333,23,0)&amp;""</f>
        <v>Minor Importance</v>
      </c>
      <c r="J109" s="186"/>
      <c r="K109" s="49" t="b">
        <v>0</v>
      </c>
      <c r="L109" s="1"/>
    </row>
    <row r="110" spans="1:12" s="30" customFormat="1" ht="120" x14ac:dyDescent="0.2">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6" t="str">
        <f>VLOOKUP($A110,Organization!$A$13:$E$67,3,0)&amp;""</f>
        <v>No</v>
      </c>
      <c r="D110" s="35" t="str">
        <f>IF(LEFT(VLOOKUP($A110,Organization!$A$13:$E$67,5,0),21)='Auto Responses'!$A$32,'Auto Responses'!$A$33,VLOOKUP($A110,Organization!$A$13:$E$67,4,0))&amp;""</f>
        <v>NSSE Shorts as a project does not. See Qualtrics HECVAT 2025 for more details: https://bcsse.iu.edu/doc/bcsse/Qualtrics%20HECVAT%202025.xlsx</v>
      </c>
      <c r="E110" s="331" t="str">
        <f>VLOOKUP($A110,Organization!$A$13:$E$67,5,0)&amp;""</f>
        <v>Describe your intent to implement a systems management and configuration strategy.</v>
      </c>
      <c r="F110" s="196"/>
      <c r="G110" s="31" t="str">
        <f>VLOOKUP($A110,Questions!$A$2:$X$333,21,0)&amp;""</f>
        <v>Yes</v>
      </c>
      <c r="H110" s="186"/>
      <c r="I110" s="46" t="str">
        <f>VLOOKUP($A110,Questions!$A$2:$X$333,23,0)&amp;""</f>
        <v>Minor Importance</v>
      </c>
      <c r="J110" s="186"/>
      <c r="K110" s="49" t="b">
        <v>0</v>
      </c>
      <c r="L110" s="1"/>
    </row>
    <row r="111" spans="1:12" s="1" customFormat="1" ht="18" x14ac:dyDescent="0.2">
      <c r="A111" s="64" t="str">
        <f>VLOOKUP(LEFT($A112,4),'Auto Responses'!$N$4:$O$38,2,0)&amp;""</f>
        <v xml:space="preserve"> Policies, Processes, and Procedures</v>
      </c>
      <c r="B111" s="23"/>
      <c r="C111" s="32"/>
      <c r="D111" s="32"/>
      <c r="E111" s="332"/>
      <c r="F111" s="133" t="s">
        <v>1066</v>
      </c>
      <c r="G111" s="336" t="s">
        <v>904</v>
      </c>
      <c r="H111" s="336" t="s">
        <v>906</v>
      </c>
      <c r="I111" s="336" t="s">
        <v>19</v>
      </c>
      <c r="J111" s="336" t="s">
        <v>891</v>
      </c>
      <c r="K111" s="32"/>
    </row>
    <row r="112" spans="1:12" s="30" customFormat="1" ht="120" x14ac:dyDescent="0.2">
      <c r="A112" s="19" t="str">
        <f>Organization!$A$53</f>
        <v>PPPR-01</v>
      </c>
      <c r="B112" s="20" t="str">
        <f>VLOOKUP($A112,Organization!$A$13:$E$67,2,0)&amp;""</f>
        <v>Do you have a documented patch management process?*</v>
      </c>
      <c r="C112" s="46" t="str">
        <f>VLOOKUP($A112,Organization!$A$13:$E$67,3,0)&amp;""</f>
        <v>No</v>
      </c>
      <c r="D112" s="35" t="str">
        <f>IF(LEFT(VLOOKUP($A112,Organization!$A$13:$E$67,5,0),21)='Auto Responses'!$A$32,'Auto Responses'!$A$33,VLOOKUP($A112,Organization!$A$13:$E$67,4,0))&amp;""</f>
        <v>NSSE Shorts as a project does not. See Qualtrics HECVAT 2025 for more details: https://bcsse.iu.edu/doc/bcsse/Qualtrics%20HECVAT%202025.xlsx</v>
      </c>
      <c r="E112" s="331" t="str">
        <f>VLOOKUP($A112,Organization!$A$13:$E$67,5,0)&amp;""</f>
        <v/>
      </c>
      <c r="F112" s="196"/>
      <c r="G112" s="31" t="str">
        <f>VLOOKUP($A112,Questions!$A$2:$X$333,21,0)&amp;""</f>
        <v>Yes</v>
      </c>
      <c r="H112" s="186"/>
      <c r="I112" s="46" t="str">
        <f>VLOOKUP($A112,Questions!$A$2:$X$333,23,0)&amp;""</f>
        <v>Critical Importance</v>
      </c>
      <c r="J112" s="186"/>
      <c r="K112" s="49" t="b">
        <v>0</v>
      </c>
      <c r="L112" s="1"/>
    </row>
    <row r="113" spans="1:12" s="30" customFormat="1" ht="285" x14ac:dyDescent="0.2">
      <c r="A113" s="19" t="str">
        <f>Organization!$A$54</f>
        <v>PPPR-02</v>
      </c>
      <c r="B113" s="20" t="str">
        <f>VLOOKUP($A113,Organization!$A$13:$E$67,2,0)&amp;""</f>
        <v>Can your organization comply with institutional policies on privacy and data protection with regard to users of institutional systems, if required?*</v>
      </c>
      <c r="C113" s="46" t="str">
        <f>VLOOKUP($A113,Organization!$A$13:$E$67,3,0)&amp;""</f>
        <v>Yes</v>
      </c>
      <c r="D113" s="35" t="str">
        <f>IF(LEFT(VLOOKUP($A113,Organization!$A$13:$E$67,5,0),21)='Auto Responses'!$A$32,'Auto Responses'!$A$33,VLOOKUP($A113,Organization!$A$13:$E$67,4,0))&amp;""</f>
        <v>NSSE Shorts will make every attempt to comply with institutional policies regarding privacy and data protection. Also see Managing IU Data: https://datamanagement.iu.edu/index.html
Qualtrics HECVAT 2025 for details regarding Qualtrics documentation: https://bcsse.iu.edu/doc/bcsse/Qualtrics%20HECVAT%202025.xlsx</v>
      </c>
      <c r="E113" s="331" t="str">
        <f>VLOOKUP($A113,Organization!$A$13:$E$67,5,0)&amp;""</f>
        <v>State that you have reviewed the institution's IT policies with regards to user privacy and data protection.</v>
      </c>
      <c r="F113" s="196"/>
      <c r="G113" s="31" t="str">
        <f>VLOOKUP($A113,Questions!$A$2:$X$333,21,0)&amp;""</f>
        <v>Yes</v>
      </c>
      <c r="H113" s="186"/>
      <c r="I113" s="46" t="str">
        <f>VLOOKUP($A113,Questions!$A$2:$X$333,23,0)&amp;""</f>
        <v>Critical Importance</v>
      </c>
      <c r="J113" s="186"/>
      <c r="K113" s="49" t="b">
        <v>0</v>
      </c>
      <c r="L113" s="1"/>
    </row>
    <row r="114" spans="1:12" s="30" customFormat="1" ht="60" x14ac:dyDescent="0.2">
      <c r="A114" s="19" t="str">
        <f>Organization!$A$55</f>
        <v>PPPR-03</v>
      </c>
      <c r="B114" s="20" t="str">
        <f>VLOOKUP($A114,Organization!$A$13:$E$67,2,0)&amp;""</f>
        <v>Is your company subject to the institution's geographic region's laws and regulations?*</v>
      </c>
      <c r="C114" s="46" t="str">
        <f>VLOOKUP($A114,Organization!$A$13:$E$67,3,0)&amp;""</f>
        <v>Yes</v>
      </c>
      <c r="D114" s="35" t="str">
        <f>IF(LEFT(VLOOKUP($A114,Organization!$A$13:$E$67,5,0),21)='Auto Responses'!$A$32,'Auto Responses'!$A$33,VLOOKUP($A114,Organization!$A$13:$E$67,4,0))&amp;""</f>
        <v>NSSE Shorts is part of Indiana University that operates in Bloomington, Indiana</v>
      </c>
      <c r="E114" s="331" t="str">
        <f>VLOOKUP($A114,Organization!$A$13:$E$67,5,0)&amp;""</f>
        <v>State the country that governs and regulates your company.</v>
      </c>
      <c r="F114" s="196"/>
      <c r="G114" s="31" t="str">
        <f>VLOOKUP($A114,Questions!$A$2:$X$333,21,0)&amp;""</f>
        <v>Yes</v>
      </c>
      <c r="H114" s="186"/>
      <c r="I114" s="46" t="str">
        <f>VLOOKUP($A114,Questions!$A$2:$X$333,23,0)&amp;""</f>
        <v>Critical Importance</v>
      </c>
      <c r="J114" s="186"/>
      <c r="K114" s="49" t="b">
        <v>0</v>
      </c>
      <c r="L114" s="1"/>
    </row>
    <row r="115" spans="1:12" s="30" customFormat="1" ht="120" x14ac:dyDescent="0.2">
      <c r="A115" s="19" t="str">
        <f>Organization!$A$56</f>
        <v>PPPR-04</v>
      </c>
      <c r="B115" s="20" t="str">
        <f>VLOOKUP($A115,Organization!$A$13:$E$67,2,0)&amp;""</f>
        <v>Can you accommodate encryption requirements using open standards?</v>
      </c>
      <c r="C115" s="46" t="str">
        <f>VLOOKUP($A115,Organization!$A$13:$E$67,3,0)&amp;""</f>
        <v>No</v>
      </c>
      <c r="D115" s="35" t="str">
        <f>IF(LEFT(VLOOKUP($A115,Organization!$A$13:$E$67,5,0),21)='Auto Responses'!$A$32,'Auto Responses'!$A$33,VLOOKUP($A115,Organization!$A$13:$E$67,4,0))&amp;""</f>
        <v>NSSE Shorts as a project does not. See Qualtrics HECVAT 2025 for more details: https://bcsse.iu.edu/doc/bcsse/Qualtrics%20HECVAT%202025.xlsx</v>
      </c>
      <c r="E115" s="331" t="str">
        <f>VLOOKUP($A115,Organization!$A$13:$E$67,5,0)&amp;""</f>
        <v/>
      </c>
      <c r="F115" s="196"/>
      <c r="G115" s="31" t="str">
        <f>VLOOKUP($A115,Questions!$A$2:$X$333,21,0)&amp;""</f>
        <v>Yes</v>
      </c>
      <c r="H115" s="186"/>
      <c r="I115" s="46" t="str">
        <f>VLOOKUP($A115,Questions!$A$2:$X$333,23,0)&amp;""</f>
        <v>Standard Importance</v>
      </c>
      <c r="J115" s="186"/>
      <c r="K115" s="49" t="b">
        <v>0</v>
      </c>
      <c r="L115" s="1"/>
    </row>
    <row r="116" spans="1:12" s="30" customFormat="1" ht="120" x14ac:dyDescent="0.2">
      <c r="A116" s="19" t="str">
        <f>Organization!$A$57</f>
        <v>PPPR-05</v>
      </c>
      <c r="B116" s="20" t="str">
        <f>VLOOKUP($A116,Organization!$A$13:$E$67,2,0)&amp;""</f>
        <v>Do you have a documented systems development life cycle (SDLC)?</v>
      </c>
      <c r="C116" s="46" t="str">
        <f>VLOOKUP($A116,Organization!$A$13:$E$67,3,0)&amp;""</f>
        <v>No</v>
      </c>
      <c r="D116" s="35" t="str">
        <f>IF(LEFT(VLOOKUP($A116,Organization!$A$13:$E$67,5,0),21)='Auto Responses'!$A$32,'Auto Responses'!$A$33,VLOOKUP($A116,Organization!$A$13:$E$67,4,0))&amp;""</f>
        <v>NSSE Shorts as a project does not. See Qualtrics HECVAT 2025 for more details: https://bcsse.iu.edu/doc/bcsse/Qualtrics%20HECVAT%202025.xlsx</v>
      </c>
      <c r="E116" s="331" t="str">
        <f>VLOOKUP($A116,Organization!$A$13:$E$67,5,0)&amp;""</f>
        <v>State any plans to implement an SDLC.</v>
      </c>
      <c r="F116" s="196"/>
      <c r="G116" s="31" t="str">
        <f>VLOOKUP($A116,Questions!$A$2:$X$333,21,0)&amp;""</f>
        <v>Yes</v>
      </c>
      <c r="H116" s="186"/>
      <c r="I116" s="46" t="str">
        <f>VLOOKUP($A116,Questions!$A$2:$X$333,23,0)&amp;""</f>
        <v>Standard Importance</v>
      </c>
      <c r="J116" s="186"/>
      <c r="K116" s="49" t="b">
        <v>0</v>
      </c>
      <c r="L116" s="1"/>
    </row>
    <row r="117" spans="1:12" s="30" customFormat="1" ht="195" x14ac:dyDescent="0.2">
      <c r="A117" s="19" t="str">
        <f>Organization!$A$58</f>
        <v>PPPR-06</v>
      </c>
      <c r="B117" s="20" t="str">
        <f>VLOOKUP($A117,Organization!$A$13:$E$67,2,0)&amp;""</f>
        <v>Do you perform background screenings or multi-state background checks on all employees prior to their first day of work?</v>
      </c>
      <c r="C117" s="46" t="str">
        <f>VLOOKUP($A117,Organization!$A$13:$E$67,3,0)&amp;""</f>
        <v>Yes</v>
      </c>
      <c r="D117" s="35" t="str">
        <f>IF(LEFT(VLOOKUP($A117,Organization!$A$13:$E$67,5,0),21)='Auto Responses'!$A$32,'Auto Responses'!$A$33,VLOOKUP($A117,Organization!$A$13:$E$67,4,0))&amp;""</f>
        <v>All NSSE Shorts staff are employees of Indiana University and subject to background screening as required by the university. Also see Qualtrics HECVAT 2025 for more details: https://bcsse.iu.edu/doc/bcsse/Qualtrics%20HECVAT%202025.xlsx</v>
      </c>
      <c r="E117" s="331" t="str">
        <f>VLOOKUP($A117,Organization!$A$13:$E$67,5,0)&amp;""</f>
        <v>Summarize your background check practices.</v>
      </c>
      <c r="F117" s="196"/>
      <c r="G117" s="31" t="str">
        <f>VLOOKUP($A117,Questions!$A$2:$X$333,21,0)&amp;""</f>
        <v>Yes</v>
      </c>
      <c r="H117" s="186"/>
      <c r="I117" s="46" t="str">
        <f>VLOOKUP($A117,Questions!$A$2:$X$333,23,0)&amp;""</f>
        <v>Standard Importance</v>
      </c>
      <c r="J117" s="186"/>
      <c r="K117" s="49" t="b">
        <v>0</v>
      </c>
      <c r="L117" s="1"/>
    </row>
    <row r="118" spans="1:12" s="30" customFormat="1" ht="180" x14ac:dyDescent="0.2">
      <c r="A118" s="19" t="str">
        <f>Organization!$A$59</f>
        <v>PPPR-07</v>
      </c>
      <c r="B118" s="20" t="str">
        <f>VLOOKUP($A118,Organization!$A$13:$E$67,2,0)&amp;""</f>
        <v>Do you require new employees to fill out agreements and review policies?</v>
      </c>
      <c r="C118" s="46" t="str">
        <f>VLOOKUP($A118,Organization!$A$13:$E$67,3,0)&amp;""</f>
        <v>Yes</v>
      </c>
      <c r="D118" s="35" t="str">
        <f>IF(LEFT(VLOOKUP($A118,Organization!$A$13:$E$67,5,0),21)='Auto Responses'!$A$32,'Auto Responses'!$A$33,VLOOKUP($A118,Organization!$A$13:$E$67,4,0))&amp;""</f>
        <v>NSSE Shorts as part of the larger NSSE project data security policies that all staff/researchers much agree to. Also see Qualtrics HECVAT 2025 for more details: https://bcsse.iu.edu/doc/bcsse/Qualtrics%20HECVAT%202025.xlsx</v>
      </c>
      <c r="E118" s="331" t="str">
        <f>VLOOKUP($A118,Organization!$A$13:$E$67,5,0)&amp;""</f>
        <v>Summarize the required agreements and reviewed policies.</v>
      </c>
      <c r="F118" s="196"/>
      <c r="G118" s="31" t="str">
        <f>VLOOKUP($A118,Questions!$A$2:$X$333,21,0)&amp;""</f>
        <v>Yes</v>
      </c>
      <c r="H118" s="186"/>
      <c r="I118" s="46" t="str">
        <f>VLOOKUP($A118,Questions!$A$2:$X$333,23,0)&amp;""</f>
        <v>Standard Importance</v>
      </c>
      <c r="J118" s="186"/>
      <c r="K118" s="49" t="b">
        <v>0</v>
      </c>
      <c r="L118" s="1"/>
    </row>
    <row r="119" spans="1:12" s="30" customFormat="1" ht="180" x14ac:dyDescent="0.2">
      <c r="A119" s="19" t="str">
        <f>Organization!$A$60</f>
        <v>PPPR-08</v>
      </c>
      <c r="B119" s="20" t="str">
        <f>VLOOKUP($A119,Organization!$A$13:$E$67,2,0)&amp;""</f>
        <v>Do you have a documented information security policy?</v>
      </c>
      <c r="C119" s="46" t="str">
        <f>VLOOKUP($A119,Organization!$A$13:$E$67,3,0)&amp;""</f>
        <v>Yes</v>
      </c>
      <c r="D119" s="35" t="str">
        <f>IF(LEFT(VLOOKUP($A119,Organization!$A$13:$E$67,5,0),21)='Auto Responses'!$A$32,'Auto Responses'!$A$33,VLOOKUP($A119,Organization!$A$13:$E$67,4,0))&amp;""</f>
        <v>NSSE Shorts as part of the larger NSSE project data security policies that all staff/researchers much agree to. Also see Qualtrics HECVAT 2025 for more details: https://bcsse.iu.edu/doc/bcsse/Qualtrics%20HECVAT%202025.xlsx</v>
      </c>
      <c r="E119" s="331" t="str">
        <f>VLOOKUP($A119,Organization!$A$13:$E$67,5,0)&amp;""</f>
        <v>Provide a reference to your information security policy or submit documentation with this fully populated HECVAT.</v>
      </c>
      <c r="F119" s="196"/>
      <c r="G119" s="31" t="str">
        <f>VLOOKUP($A119,Questions!$A$2:$X$333,21,0)&amp;""</f>
        <v>Yes</v>
      </c>
      <c r="H119" s="186"/>
      <c r="I119" s="46" t="str">
        <f>VLOOKUP($A119,Questions!$A$2:$X$333,23,0)&amp;""</f>
        <v>Standard Importance</v>
      </c>
      <c r="J119" s="186"/>
      <c r="K119" s="49" t="b">
        <v>0</v>
      </c>
      <c r="L119" s="1"/>
    </row>
    <row r="120" spans="1:12" s="30" customFormat="1" ht="120" x14ac:dyDescent="0.2">
      <c r="A120" s="19" t="str">
        <f>Organization!$A$61</f>
        <v>PPPR-09</v>
      </c>
      <c r="B120" s="20" t="str">
        <f>VLOOKUP($A120,Organization!$A$13:$E$67,2,0)&amp;""</f>
        <v>Are information security principles designed into the product lifecycle?</v>
      </c>
      <c r="C120" s="46" t="str">
        <f>VLOOKUP($A120,Organization!$A$13:$E$67,3,0)&amp;""</f>
        <v>No</v>
      </c>
      <c r="D120" s="35" t="str">
        <f>IF(LEFT(VLOOKUP($A120,Organization!$A$13:$E$67,5,0),21)='Auto Responses'!$A$32,'Auto Responses'!$A$33,VLOOKUP($A120,Organization!$A$13:$E$67,4,0))&amp;""</f>
        <v>NSSE Shorts as a project does not. See Qualtrics HECVAT 2025 for more details: https://bcsse.iu.edu/doc/bcsse/Qualtrics%20HECVAT%202025.xlsx</v>
      </c>
      <c r="E120" s="331" t="str">
        <f>VLOOKUP($A120,Organization!$A$13:$E$67,5,0)&amp;""</f>
        <v>State why security principles are not designed into the product lifecycle.</v>
      </c>
      <c r="F120" s="196"/>
      <c r="G120" s="31" t="str">
        <f>VLOOKUP($A120,Questions!$A$2:$X$333,21,0)&amp;""</f>
        <v>Yes</v>
      </c>
      <c r="H120" s="186"/>
      <c r="I120" s="46" t="str">
        <f>VLOOKUP($A120,Questions!$A$2:$X$333,23,0)&amp;""</f>
        <v>Minor Importance</v>
      </c>
      <c r="J120" s="186"/>
      <c r="K120" s="49" t="b">
        <v>0</v>
      </c>
      <c r="L120" s="1"/>
    </row>
    <row r="121" spans="1:12" s="30" customFormat="1" ht="75" x14ac:dyDescent="0.2">
      <c r="A121" s="19" t="str">
        <f>Organization!$A$62</f>
        <v>PPPR-10</v>
      </c>
      <c r="B121" s="20" t="str">
        <f>VLOOKUP($A121,Organization!$A$13:$E$67,2,0)&amp;""</f>
        <v>Will you comply with applicable breach notification laws?</v>
      </c>
      <c r="C121" s="46" t="str">
        <f>VLOOKUP($A121,Organization!$A$13:$E$67,3,0)&amp;""</f>
        <v>Yes</v>
      </c>
      <c r="D121" s="35" t="str">
        <f>IF(LEFT(VLOOKUP($A121,Organization!$A$13:$E$67,5,0),21)='Auto Responses'!$A$32,'Auto Responses'!$A$33,VLOOKUP($A121,Organization!$A$13:$E$67,4,0))&amp;""</f>
        <v/>
      </c>
      <c r="E121" s="331" t="str">
        <f>VLOOKUP($A121,Organization!$A$13:$E$67,5,0)&amp;""</f>
        <v>State how quickly the institution will be notified of a data breach or security incident.</v>
      </c>
      <c r="F121" s="196"/>
      <c r="G121" s="31" t="str">
        <f>VLOOKUP($A121,Questions!$A$2:$X$333,21,0)&amp;""</f>
        <v>Yes</v>
      </c>
      <c r="H121" s="186"/>
      <c r="I121" s="46" t="str">
        <f>VLOOKUP($A121,Questions!$A$2:$X$333,23,0)&amp;""</f>
        <v>Minor Importance</v>
      </c>
      <c r="J121" s="186"/>
      <c r="K121" s="49" t="b">
        <v>0</v>
      </c>
      <c r="L121" s="1"/>
    </row>
    <row r="122" spans="1:12" s="30" customFormat="1" ht="180" x14ac:dyDescent="0.2">
      <c r="A122" s="19" t="str">
        <f>Organization!$A$63</f>
        <v>PPPR-11</v>
      </c>
      <c r="B122" s="20" t="str">
        <f>VLOOKUP($A122,Organization!$A$13:$E$67,2,0)&amp;""</f>
        <v>Do you have an information security awareness program?</v>
      </c>
      <c r="C122" s="46" t="str">
        <f>VLOOKUP($A122,Organization!$A$13:$E$67,3,0)&amp;""</f>
        <v>Yes</v>
      </c>
      <c r="D122" s="35" t="str">
        <f>IF(LEFT(VLOOKUP($A122,Organization!$A$13:$E$67,5,0),21)='Auto Responses'!$A$32,'Auto Responses'!$A$33,VLOOKUP($A122,Organization!$A$13:$E$67,4,0))&amp;""</f>
        <v>NSSE Shorts as part of the larger NSSE project data security policies that all staff/researchers much agree to. Also see Qualtrics HECVAT 2025 for more details: https://bcsse.iu.edu/doc/bcsse/Qualtrics%20HECVAT%202025.xlsx</v>
      </c>
      <c r="E122" s="331" t="str">
        <f>VLOOKUP($A122,Organization!$A$13:$E$67,5,0)&amp;""</f>
        <v>Summarize your information security awareness program.</v>
      </c>
      <c r="F122" s="196"/>
      <c r="G122" s="31" t="str">
        <f>VLOOKUP($A122,Questions!$A$2:$X$333,21,0)&amp;""</f>
        <v>Yes</v>
      </c>
      <c r="H122" s="186"/>
      <c r="I122" s="46" t="str">
        <f>VLOOKUP($A122,Questions!$A$2:$X$333,23,0)&amp;""</f>
        <v>Minor Importance</v>
      </c>
      <c r="J122" s="186"/>
      <c r="K122" s="49" t="b">
        <v>0</v>
      </c>
      <c r="L122" s="1"/>
    </row>
    <row r="123" spans="1:12" s="30" customFormat="1" ht="180" x14ac:dyDescent="0.2">
      <c r="A123" s="19" t="str">
        <f>Organization!$A$64</f>
        <v>PPPR-12</v>
      </c>
      <c r="B123" s="20" t="str">
        <f>VLOOKUP($A123,Organization!$A$13:$E$67,2,0)&amp;""</f>
        <v>Is security awareness training mandatory for all employees?</v>
      </c>
      <c r="C123" s="46" t="str">
        <f>VLOOKUP($A123,Organization!$A$13:$E$67,3,0)&amp;""</f>
        <v>Yes</v>
      </c>
      <c r="D123" s="35" t="str">
        <f>IF(LEFT(VLOOKUP($A123,Organization!$A$13:$E$67,5,0),21)='Auto Responses'!$A$32,'Auto Responses'!$A$33,VLOOKUP($A123,Organization!$A$13:$E$67,4,0))&amp;""</f>
        <v>NSSE Shorts as part of the larger NSSE project data security policies that all staff/researchers much agree to. Also see Qualtrics HECVAT 2025 for more details: https://bcsse.iu.edu/doc/bcsse/Qualtrics%20HECVAT%202025.xlsx</v>
      </c>
      <c r="E123" s="331" t="str">
        <f>VLOOKUP($A123,Organization!$A$13:$E$67,5,0)&amp;""</f>
        <v>Summarize your security awareness training content and state how frequently employees are required to undergo security awareness training.</v>
      </c>
      <c r="F123" s="196"/>
      <c r="G123" s="31" t="str">
        <f>VLOOKUP($A123,Questions!$A$2:$X$333,21,0)&amp;""</f>
        <v>Yes</v>
      </c>
      <c r="H123" s="186"/>
      <c r="I123" s="46" t="str">
        <f>VLOOKUP($A123,Questions!$A$2:$X$333,23,0)&amp;""</f>
        <v>Minor Importance</v>
      </c>
      <c r="J123" s="186"/>
      <c r="K123" s="49" t="b">
        <v>0</v>
      </c>
      <c r="L123" s="1"/>
    </row>
    <row r="124" spans="1:12" s="30" customFormat="1" ht="180" x14ac:dyDescent="0.2">
      <c r="A124" s="19" t="str">
        <f>Organization!$A$65</f>
        <v>PPPR-13</v>
      </c>
      <c r="B124" s="20" t="str">
        <f>VLOOKUP($A124,Organization!$A$13:$E$67,2,0)&amp;""</f>
        <v>Do you have process and procedure(s) documented, and currently followed, that require a review and update of the access list(s) for privileged accounts?</v>
      </c>
      <c r="C124" s="46" t="str">
        <f>VLOOKUP($A124,Organization!$A$13:$E$67,3,0)&amp;""</f>
        <v>Yes</v>
      </c>
      <c r="D124" s="35" t="str">
        <f>IF(LEFT(VLOOKUP($A124,Organization!$A$13:$E$67,5,0),21)='Auto Responses'!$A$32,'Auto Responses'!$A$33,VLOOKUP($A124,Organization!$A$13:$E$67,4,0))&amp;""</f>
        <v>NSSE Shorts as part of the larger NSSE project data security policies that all staff/researchers much agree to. Also see Qualtrics HECVAT 2025 for more details: https://bcsse.iu.edu/doc/bcsse/Qualtrics%20HECVAT%202025.xlsx</v>
      </c>
      <c r="E124" s="331" t="str">
        <f>VLOOKUP($A124,Organization!$A$13:$E$67,5,0)&amp;""</f>
        <v>Provide a brief summary and the implement review interval.</v>
      </c>
      <c r="F124" s="196"/>
      <c r="G124" s="31" t="str">
        <f>VLOOKUP($A124,Questions!$A$2:$X$333,21,0)&amp;""</f>
        <v>Yes</v>
      </c>
      <c r="H124" s="186"/>
      <c r="I124" s="46" t="str">
        <f>VLOOKUP($A124,Questions!$A$2:$X$333,23,0)&amp;""</f>
        <v>Minor Importance</v>
      </c>
      <c r="J124" s="186"/>
      <c r="K124" s="49" t="b">
        <v>0</v>
      </c>
      <c r="L124" s="1"/>
    </row>
    <row r="125" spans="1:12" s="30" customFormat="1" ht="120" x14ac:dyDescent="0.2">
      <c r="A125" s="19" t="str">
        <f>Organization!$A$66</f>
        <v>PPPR-14</v>
      </c>
      <c r="B125" s="20" t="str">
        <f>VLOOKUP($A125,Organization!$A$13:$E$67,2,0)&amp;""</f>
        <v>Do you have documented, and currently implemented, internal audit processes and procedures?</v>
      </c>
      <c r="C125" s="46" t="str">
        <f>VLOOKUP($A125,Organization!$A$13:$E$67,3,0)&amp;""</f>
        <v>No</v>
      </c>
      <c r="D125" s="35" t="str">
        <f>IF(LEFT(VLOOKUP($A125,Organization!$A$13:$E$67,5,0),21)='Auto Responses'!$A$32,'Auto Responses'!$A$33,VLOOKUP($A125,Organization!$A$13:$E$67,4,0))&amp;""</f>
        <v>NSSE Shorts as a project does not. See Qualtrics HECVAT 2025 for more details: https://bcsse.iu.edu/doc/bcsse/Qualtrics%20HECVAT%202025.xlsx</v>
      </c>
      <c r="E125" s="331" t="str">
        <f>VLOOKUP($A125,Organization!$A$13:$E$67,5,0)&amp;""</f>
        <v>State plans to document and implement internal audit process and procedure in your environment.</v>
      </c>
      <c r="F125" s="196"/>
      <c r="G125" s="31" t="str">
        <f>VLOOKUP($A125,Questions!$A$2:$X$333,21,0)&amp;""</f>
        <v>Yes</v>
      </c>
      <c r="H125" s="186"/>
      <c r="I125" s="46" t="str">
        <f>VLOOKUP($A125,Questions!$A$2:$X$333,23,0)&amp;""</f>
        <v>Minor Importance</v>
      </c>
      <c r="J125" s="186"/>
      <c r="K125" s="49" t="b">
        <v>0</v>
      </c>
      <c r="L125" s="1"/>
    </row>
    <row r="126" spans="1:12" s="30" customFormat="1" ht="120.75" thickBot="1" x14ac:dyDescent="0.25">
      <c r="A126" s="19" t="str">
        <f>Organization!$A$67</f>
        <v>PPPR-15</v>
      </c>
      <c r="B126" s="20" t="str">
        <f>VLOOKUP($A126,Organization!$A$13:$E$67,2,0)&amp;""</f>
        <v>Does your organization have physical security controls and policies in place?</v>
      </c>
      <c r="C126" s="46" t="str">
        <f>VLOOKUP($A126,Organization!$A$13:$E$67,3,0)&amp;""</f>
        <v>No</v>
      </c>
      <c r="D126" s="35" t="str">
        <f>IF(LEFT(VLOOKUP($A126,Organization!$A$13:$E$67,5,0),21)='Auto Responses'!$A$32,'Auto Responses'!$A$33,VLOOKUP($A126,Organization!$A$13:$E$67,4,0))&amp;""</f>
        <v>NSSE Shorts as a project does not. See Qualtrics HECVAT 2025 for more details: https://bcsse.iu.edu/doc/bcsse/Qualtrics%20HECVAT%202025.xlsx</v>
      </c>
      <c r="E126" s="331" t="str">
        <f>VLOOKUP($A126,Organization!$A$13:$E$67,5,0)&amp;""</f>
        <v>Describe your intent to implement physical security controls and policies.</v>
      </c>
      <c r="F126" s="196"/>
      <c r="G126" s="31" t="str">
        <f>VLOOKUP($A126,Questions!$A$2:$X$333,21,0)&amp;""</f>
        <v>Yes</v>
      </c>
      <c r="H126" s="186"/>
      <c r="I126" s="46" t="str">
        <f>VLOOKUP($A126,Questions!$A$2:$X$333,23,0)&amp;""</f>
        <v>Minor Importance</v>
      </c>
      <c r="J126" s="186"/>
      <c r="K126" s="50" t="b">
        <v>0</v>
      </c>
      <c r="L126" s="1"/>
    </row>
    <row r="127" spans="1:12" s="1" customFormat="1" ht="18" x14ac:dyDescent="0.2">
      <c r="A127" s="64" t="str">
        <f>VLOOKUP(LEFT($A128,4),'Auto Responses'!$N$4:$O$38,2,0)&amp;""</f>
        <v xml:space="preserve"> Authentication, Authorization, and Account Management</v>
      </c>
      <c r="B127" s="23"/>
      <c r="C127" s="32"/>
      <c r="D127" s="32"/>
      <c r="E127" s="332"/>
      <c r="F127" s="133" t="s">
        <v>1066</v>
      </c>
      <c r="G127" s="336" t="s">
        <v>904</v>
      </c>
      <c r="H127" s="336" t="s">
        <v>906</v>
      </c>
      <c r="I127" s="336" t="s">
        <v>19</v>
      </c>
      <c r="J127" s="336" t="s">
        <v>891</v>
      </c>
      <c r="K127" s="32"/>
    </row>
    <row r="128" spans="1:12" s="30" customFormat="1" ht="60" x14ac:dyDescent="0.2">
      <c r="A128" s="19" t="str">
        <f>Product!$A$20</f>
        <v>AAAI-01</v>
      </c>
      <c r="B128" s="20" t="str">
        <f>VLOOKUP($A128,Product!$A$13:$E$61,2,0)&amp;""</f>
        <v>Does your solution support single sign-on (SSO) protocols for user and administrator authentication?*</v>
      </c>
      <c r="C128" s="46" t="str">
        <f>VLOOKUP($A128,Product!$A$13:$E$61,3,0)&amp;""</f>
        <v>No</v>
      </c>
      <c r="D128" s="35" t="str">
        <f>IF(LEFT(VLOOKUP($A128,Product!$A$13:$E$61,5,0),21)='Auto Responses'!$A$32,'Auto Responses'!$A$33,VLOOKUP($A128,Product!$A$13:$E$61,4,0))&amp;""</f>
        <v/>
      </c>
      <c r="E128" s="331" t="str">
        <f>VLOOKUP($A128,Product!$A$13:$E$61,5,0)&amp;""</f>
        <v>Describe plans to support strong authentication practices.</v>
      </c>
      <c r="F128" s="196"/>
      <c r="G128" s="31" t="str">
        <f>VLOOKUP($A128,Questions!$A$2:$X$333,21,0)&amp;""</f>
        <v>Yes</v>
      </c>
      <c r="H128" s="186"/>
      <c r="I128" s="46" t="str">
        <f>VLOOKUP($A128,Questions!$A$2:$X$333,23,0)&amp;""</f>
        <v>Critical Importance</v>
      </c>
      <c r="J128" s="186"/>
      <c r="K128" s="49" t="b">
        <v>0</v>
      </c>
      <c r="L128" s="1"/>
    </row>
    <row r="129" spans="1:12" s="30" customFormat="1" ht="150" x14ac:dyDescent="0.2">
      <c r="A129" s="19" t="str">
        <f>Product!$A$21</f>
        <v>AAAI-02</v>
      </c>
      <c r="B129" s="20" t="str">
        <f>VLOOKUP($A129,Product!$A$13:$E$61,2,0)&amp;""</f>
        <v>For customers not using SSO, does your solution support local authentication protocols for user and administrator authentication?*</v>
      </c>
      <c r="C129" s="46" t="str">
        <f>VLOOKUP($A129,Product!$A$13:$E$61,3,0)&amp;""</f>
        <v>Yes</v>
      </c>
      <c r="D129" s="35" t="str">
        <f>IF(LEFT(VLOOKUP($A129,Product!$A$13:$E$61,5,0),21)='Auto Responses'!$A$32,'Auto Responses'!$A$33,VLOOKUP($A129,Product!$A$13:$E$61,4,0))&amp;""</f>
        <v>Password settings are determined by the customer for their own instance. For more information see https://www.qualtrics.com/support/survey-platform/sp-administration/security-tab/</v>
      </c>
      <c r="E129" s="331" t="str">
        <f>VLOOKUP($A129,Product!$A$13:$E$61,5,0)&amp;""</f>
        <v>Provide a detailed description of your local authentication mode practices.</v>
      </c>
      <c r="F129" s="196"/>
      <c r="G129" s="31" t="str">
        <f>VLOOKUP($A129,Questions!$A$2:$X$333,21,0)&amp;""</f>
        <v>Yes</v>
      </c>
      <c r="H129" s="186"/>
      <c r="I129" s="46" t="str">
        <f>VLOOKUP($A129,Questions!$A$2:$X$333,23,0)&amp;""</f>
        <v>Critical Importance</v>
      </c>
      <c r="J129" s="186"/>
      <c r="K129" s="49" t="b">
        <v>0</v>
      </c>
      <c r="L129" s="1"/>
    </row>
    <row r="130" spans="1:12" s="30" customFormat="1" ht="150" x14ac:dyDescent="0.2">
      <c r="A130" s="19" t="str">
        <f>Product!$A$22</f>
        <v>AAAI-03</v>
      </c>
      <c r="B130" s="20" t="str">
        <f>VLOOKUP($A130,Product!$A$13:$E$61,2,0)&amp;""</f>
        <v>For customers not using SSO, can you enforce password/passphrase complexity requirements (provided by the institution)?*</v>
      </c>
      <c r="C130" s="46" t="str">
        <f>VLOOKUP($A130,Product!$A$13:$E$61,3,0)&amp;""</f>
        <v>Yes</v>
      </c>
      <c r="D130" s="35" t="str">
        <f>IF(LEFT(VLOOKUP($A130,Product!$A$13:$E$61,5,0),21)='Auto Responses'!$A$32,'Auto Responses'!$A$33,VLOOKUP($A130,Product!$A$13:$E$61,4,0))&amp;""</f>
        <v>Password settings are determined by the customer for their own instance. For more information see https://www.qualtrics.com/support/survey-platform/sp-administration/security-tab/</v>
      </c>
      <c r="E130" s="331" t="str">
        <f>VLOOKUP($A130,Product!$A$13:$E$61,5,0)&amp;""</f>
        <v>Describe how password/passphrase complexity requirements are implemented in the product.</v>
      </c>
      <c r="F130" s="196"/>
      <c r="G130" s="31" t="str">
        <f>VLOOKUP($A130,Questions!$A$2:$X$333,21,0)&amp;""</f>
        <v>Yes</v>
      </c>
      <c r="H130" s="186"/>
      <c r="I130" s="46" t="str">
        <f>VLOOKUP($A130,Questions!$A$2:$X$333,23,0)&amp;""</f>
        <v>Critical Importance</v>
      </c>
      <c r="J130" s="186"/>
      <c r="K130" s="49" t="b">
        <v>0</v>
      </c>
      <c r="L130" s="1"/>
    </row>
    <row r="131" spans="1:12" s="30" customFormat="1" ht="150" x14ac:dyDescent="0.2">
      <c r="A131" s="19" t="str">
        <f>Product!$A$23</f>
        <v>AAAI-04</v>
      </c>
      <c r="B131" s="20" t="str">
        <f>VLOOKUP($A131,Product!$A$13:$E$61,2,0)&amp;""</f>
        <v>For customers not using SSO, does the system have password complexity or length limitations and/or restrictions?*</v>
      </c>
      <c r="C131" s="46" t="str">
        <f>VLOOKUP($A131,Product!$A$13:$E$61,3,0)&amp;""</f>
        <v>Yes</v>
      </c>
      <c r="D131" s="35" t="str">
        <f>IF(LEFT(VLOOKUP($A131,Product!$A$13:$E$61,5,0),21)='Auto Responses'!$A$32,'Auto Responses'!$A$33,VLOOKUP($A131,Product!$A$13:$E$61,4,0))&amp;""</f>
        <v>Password settings are determined by the customer for their own instance. For more information see https://www.qualtrics.com/support/survey-platform/sp-administration/security-tab/</v>
      </c>
      <c r="E131" s="331" t="str">
        <f>VLOOKUP($A131,Product!$A$13:$E$61,5,0)&amp;""</f>
        <v>Describe these limitations and/or restrictions and state what lengths and complexities are supported.</v>
      </c>
      <c r="F131" s="196"/>
      <c r="G131" s="31" t="str">
        <f>VLOOKUP($A131,Questions!$A$2:$X$333,21,0)&amp;""</f>
        <v>No</v>
      </c>
      <c r="H131" s="186"/>
      <c r="I131" s="46" t="str">
        <f>VLOOKUP($A131,Questions!$A$2:$X$333,23,0)&amp;""</f>
        <v>Critical Importance</v>
      </c>
      <c r="J131" s="186"/>
      <c r="K131" s="49" t="b">
        <v>0</v>
      </c>
      <c r="L131" s="1"/>
    </row>
    <row r="132" spans="1:12" s="30" customFormat="1" ht="150" x14ac:dyDescent="0.2">
      <c r="A132" s="19" t="str">
        <f>Product!$A$24</f>
        <v>AAAI-05</v>
      </c>
      <c r="B132" s="20" t="str">
        <f>VLOOKUP($A132,Product!$A$13:$E$61,2,0)&amp;""</f>
        <v>For customers not using SSO, do you have documented password/passphrase reset procedures that are currently implemented in the system and/or customer support?*</v>
      </c>
      <c r="C132" s="46" t="str">
        <f>VLOOKUP($A132,Product!$A$13:$E$61,3,0)&amp;""</f>
        <v>Yes</v>
      </c>
      <c r="D132" s="35" t="str">
        <f>IF(LEFT(VLOOKUP($A132,Product!$A$13:$E$61,5,0),21)='Auto Responses'!$A$32,'Auto Responses'!$A$33,VLOOKUP($A132,Product!$A$13:$E$61,4,0))&amp;""</f>
        <v>Password settings are determined by the customer for their own instance. For more information see https://www.qualtrics.com/support/survey-platform/sp-administration/security-tab/</v>
      </c>
      <c r="E132" s="331" t="str">
        <f>VLOOKUP($A132,Product!$A$13:$E$61,5,0)&amp;""</f>
        <v>Describe your documented password/passphrase reset procedures that are currently implemented in the system and/or customer support.</v>
      </c>
      <c r="F132" s="196"/>
      <c r="G132" s="31" t="str">
        <f>VLOOKUP($A132,Questions!$A$2:$X$333,21,0)&amp;""</f>
        <v>Yes</v>
      </c>
      <c r="H132" s="186"/>
      <c r="I132" s="46" t="str">
        <f>VLOOKUP($A132,Questions!$A$2:$X$333,23,0)&amp;""</f>
        <v>Critical Importance</v>
      </c>
      <c r="J132" s="186"/>
      <c r="K132" s="49" t="b">
        <v>0</v>
      </c>
      <c r="L132" s="1"/>
    </row>
    <row r="133" spans="1:12" s="30" customFormat="1" ht="75" x14ac:dyDescent="0.2">
      <c r="A133" s="19" t="str">
        <f>Product!$A$25</f>
        <v>AAAI-06</v>
      </c>
      <c r="B133" s="20" t="str">
        <f>VLOOKUP($A133,Product!$A$13:$E$61,2,0)&amp;""</f>
        <v>Does your organization participate in InCommon or another eduGAIN-affiliated trust federation?*</v>
      </c>
      <c r="C133" s="46" t="str">
        <f>VLOOKUP($A133,Product!$A$13:$E$61,3,0)&amp;""</f>
        <v>No</v>
      </c>
      <c r="D133" s="35" t="str">
        <f>IF(LEFT(VLOOKUP($A133,Product!$A$13:$E$61,5,0),21)='Auto Responses'!$A$32,'Auto Responses'!$A$33,VLOOKUP($A133,Product!$A$13:$E$61,4,0))&amp;""</f>
        <v/>
      </c>
      <c r="E133" s="331" t="str">
        <f>VLOOKUP($A133,Product!$A$13:$E$61,5,0)&amp;""</f>
        <v>Describe plans to participate in InCommon or another eduGAIN-affiliated trust federation.</v>
      </c>
      <c r="F133" s="196"/>
      <c r="G133" s="31" t="str">
        <f>VLOOKUP($A133,Questions!$A$2:$X$333,21,0)&amp;""</f>
        <v>Yes</v>
      </c>
      <c r="H133" s="186"/>
      <c r="I133" s="46" t="str">
        <f>VLOOKUP($A133,Questions!$A$2:$X$333,23,0)&amp;""</f>
        <v>Critical Importance</v>
      </c>
      <c r="J133" s="186"/>
      <c r="K133" s="49" t="b">
        <v>0</v>
      </c>
      <c r="L133" s="1"/>
    </row>
    <row r="134" spans="1:12" s="30" customFormat="1" ht="28.5" x14ac:dyDescent="0.2">
      <c r="A134" s="19" t="str">
        <f>Product!$A$26</f>
        <v>AAAI-07</v>
      </c>
      <c r="B134" s="20" t="str">
        <f>VLOOKUP($A134,Product!$A$13:$E$61,2,0)&amp;""</f>
        <v>Are there any passwords/passphrases hard-coded into your systems or solutions?*</v>
      </c>
      <c r="C134" s="46" t="str">
        <f>VLOOKUP($A134,Product!$A$13:$E$61,3,0)&amp;""</f>
        <v>No</v>
      </c>
      <c r="D134" s="35" t="str">
        <f>IF(LEFT(VLOOKUP($A134,Product!$A$13:$E$61,5,0),21)='Auto Responses'!$A$32,'Auto Responses'!$A$33,VLOOKUP($A134,Product!$A$13:$E$61,4,0))&amp;""</f>
        <v/>
      </c>
      <c r="E134" s="331" t="str">
        <f>VLOOKUP($A134,Product!$A$13:$E$61,5,0)&amp;""</f>
        <v/>
      </c>
      <c r="F134" s="196"/>
      <c r="G134" s="31" t="str">
        <f>VLOOKUP($A134,Questions!$A$2:$X$333,21,0)&amp;""</f>
        <v>No</v>
      </c>
      <c r="H134" s="186"/>
      <c r="I134" s="46" t="str">
        <f>VLOOKUP($A134,Questions!$A$2:$X$333,23,0)&amp;""</f>
        <v>Critical Importance</v>
      </c>
      <c r="J134" s="186"/>
      <c r="K134" s="49" t="b">
        <v>0</v>
      </c>
      <c r="L134" s="1"/>
    </row>
    <row r="135" spans="1:12" s="30" customFormat="1" ht="15" x14ac:dyDescent="0.2">
      <c r="A135" s="19" t="str">
        <f>Product!$A$27</f>
        <v>AAAI-08</v>
      </c>
      <c r="B135" s="20" t="str">
        <f>VLOOKUP($A135,Product!$A$13:$E$61,2,0)&amp;""</f>
        <v>Are you storing any passwords in plaintext?*</v>
      </c>
      <c r="C135" s="46" t="str">
        <f>VLOOKUP($A135,Product!$A$13:$E$61,3,0)&amp;""</f>
        <v>No</v>
      </c>
      <c r="D135" s="35" t="str">
        <f>IF(LEFT(VLOOKUP($A135,Product!$A$13:$E$61,5,0),21)='Auto Responses'!$A$32,'Auto Responses'!$A$33,VLOOKUP($A135,Product!$A$13:$E$61,4,0))&amp;""</f>
        <v/>
      </c>
      <c r="E135" s="331" t="str">
        <f>VLOOKUP($A135,Product!$A$13:$E$61,5,0)&amp;""</f>
        <v/>
      </c>
      <c r="F135" s="196"/>
      <c r="G135" s="31" t="str">
        <f>VLOOKUP($A135,Questions!$A$2:$X$333,21,0)&amp;""</f>
        <v>No</v>
      </c>
      <c r="H135" s="186"/>
      <c r="I135" s="46" t="str">
        <f>VLOOKUP($A135,Questions!$A$2:$X$333,23,0)&amp;""</f>
        <v>Critical Importance</v>
      </c>
      <c r="J135" s="186"/>
      <c r="K135" s="49" t="b">
        <v>0</v>
      </c>
      <c r="L135" s="1"/>
    </row>
    <row r="136" spans="1:12" s="30" customFormat="1" ht="120" x14ac:dyDescent="0.2">
      <c r="A136" s="19" t="str">
        <f>Product!$A$28</f>
        <v>AAAI-09</v>
      </c>
      <c r="B136" s="20" t="str">
        <f>VLOOKUP($A136,Product!$A$13:$E$61,2,0)&amp;""</f>
        <v>Are audit logs available that include AT LEAST all of the following: login, logout, actions performed, and source IP address?*</v>
      </c>
      <c r="C136" s="46" t="str">
        <f>VLOOKUP($A136,Product!$A$13:$E$61,3,0)&amp;""</f>
        <v>No</v>
      </c>
      <c r="D136" s="35" t="str">
        <f>IF(LEFT(VLOOKUP($A136,Product!$A$13:$E$61,5,0),21)='Auto Responses'!$A$32,'Auto Responses'!$A$33,VLOOKUP($A136,Product!$A$13:$E$61,4,0))&amp;""</f>
        <v>NSSE Shorts as a project does not. See Qualtrics HECVAT 2025 for more details: https://bcsse.iu.edu/doc/bcsse/Qualtrics%20HECVAT%202025.xlsx</v>
      </c>
      <c r="E136" s="331" t="str">
        <f>VLOOKUP($A136,Product!$A$13:$E$61,5,0)&amp;""</f>
        <v>Describe any plans to enable audit logs for these data elements.</v>
      </c>
      <c r="F136" s="196"/>
      <c r="G136" s="31" t="str">
        <f>VLOOKUP($A136,Questions!$A$2:$X$333,21,0)&amp;""</f>
        <v>Yes</v>
      </c>
      <c r="H136" s="186"/>
      <c r="I136" s="46" t="str">
        <f>VLOOKUP($A136,Questions!$A$2:$X$333,23,0)&amp;""</f>
        <v>Critical Importance</v>
      </c>
      <c r="J136" s="186"/>
      <c r="K136" s="49" t="b">
        <v>0</v>
      </c>
      <c r="L136" s="1"/>
    </row>
    <row r="137" spans="1:12" s="30" customFormat="1" ht="90" x14ac:dyDescent="0.2">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06" t="str">
        <f>VLOOKUP($A137,Product!$A$13:$E$61,3,0)&amp;""</f>
        <v/>
      </c>
      <c r="D137" s="305" t="str">
        <f>IF(LEFT(VLOOKUP($A137,Product!$A$13:$E$61,5,0),21)='Auto Responses'!$A$32,'Auto Responses'!$A$33,VLOOKUP($A137,Product!$A$13:$E$61,4,0))&amp;""</f>
        <v>See Qualtrics HECVAT 2025 for more details: https://bcsse.iu.edu/doc/bcsse/Qualtrics%20HECVAT%202025.xlsx</v>
      </c>
      <c r="E137" s="331" t="str">
        <f>VLOOKUP($A137,Product!$A$13:$E$61,5,0)&amp;""</f>
        <v>Ensure that all elements of AAAI-10 are clearly stated in your response.</v>
      </c>
      <c r="F137" s="196"/>
      <c r="G137" s="31" t="str">
        <f>VLOOKUP($A137,Questions!$A$2:$X$333,21,0)&amp;""</f>
        <v>Not scored</v>
      </c>
      <c r="H137" s="186"/>
      <c r="I137" s="46" t="str">
        <f>VLOOKUP($A137,Questions!$A$2:$X$333,23,0)&amp;""</f>
        <v/>
      </c>
      <c r="J137" s="186"/>
      <c r="K137" s="49" t="b">
        <v>0</v>
      </c>
      <c r="L137" s="1"/>
    </row>
    <row r="138" spans="1:12" s="30" customFormat="1" ht="120" x14ac:dyDescent="0.2">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6" t="str">
        <f>VLOOKUP($A138,Product!$A$13:$E$61,3,0)&amp;""</f>
        <v>No</v>
      </c>
      <c r="D138" s="35" t="str">
        <f>IF(LEFT(VLOOKUP($A138,Product!$A$13:$E$61,5,0),21)='Auto Responses'!$A$32,'Auto Responses'!$A$33,VLOOKUP($A138,Product!$A$13:$E$61,4,0))&amp;""</f>
        <v>NSSE Shorts as a project does not. See Qualtrics HECVAT 2025 for more details: https://bcsse.iu.edu/doc/bcsse/Qualtrics%20HECVAT%202025.xlsx</v>
      </c>
      <c r="E138" s="331" t="str">
        <f>VLOOKUP($A138,Product!$A$13:$E$61,5,0)&amp;""</f>
        <v>Ensure that all elements of AAAI-11 are clearly stated in your response.</v>
      </c>
      <c r="F138" s="196"/>
      <c r="G138" s="31" t="str">
        <f>VLOOKUP($A138,Questions!$A$2:$X$333,21,0)&amp;""</f>
        <v>Yes</v>
      </c>
      <c r="H138" s="186"/>
      <c r="I138" s="46" t="str">
        <f>VLOOKUP($A138,Questions!$A$2:$X$333,23,0)&amp;""</f>
        <v>Critical Importance</v>
      </c>
      <c r="J138" s="186"/>
      <c r="K138" s="49" t="b">
        <v>0</v>
      </c>
      <c r="L138" s="1"/>
    </row>
    <row r="139" spans="1:12" s="30" customFormat="1" ht="90" x14ac:dyDescent="0.2">
      <c r="A139" s="19" t="str">
        <f>Product!$A$31</f>
        <v>AAAI-12</v>
      </c>
      <c r="B139" s="20" t="str">
        <f>VLOOKUP($A139,Product!$A$13:$E$61,2,0)&amp;""</f>
        <v>For customers not using SSO, does your application support integration with other authentication and authorization systems?</v>
      </c>
      <c r="C139" s="46" t="str">
        <f>VLOOKUP($A139,Product!$A$13:$E$61,3,0)&amp;""</f>
        <v>No</v>
      </c>
      <c r="D139" s="35" t="str">
        <f>IF(LEFT(VLOOKUP($A139,Product!$A$13:$E$61,5,0),21)='Auto Responses'!$A$73,'Auto Responses'!$A$74,VLOOKUP($A139,Product!$A$13:$E$61,4,0))&amp;""</f>
        <v/>
      </c>
      <c r="E139" s="331" t="str">
        <f>VLOOKUP($A139,Product!$A$13:$E$61,5,0)&amp;""</f>
        <v>Describe any plans to support integration with other authentication and authorization systems.</v>
      </c>
      <c r="F139" s="196"/>
      <c r="G139" s="31" t="str">
        <f>VLOOKUP($A139,Questions!$A$2:$X$333,21,0)&amp;""</f>
        <v>Yes</v>
      </c>
      <c r="H139" s="186"/>
      <c r="I139" s="46" t="str">
        <f>VLOOKUP($A139,Questions!$A$2:$X$333,23,0)&amp;""</f>
        <v>Standard Importance</v>
      </c>
      <c r="J139" s="186"/>
      <c r="K139" s="49" t="b">
        <v>0</v>
      </c>
      <c r="L139" s="1"/>
    </row>
    <row r="140" spans="1:12" s="30" customFormat="1" ht="345" x14ac:dyDescent="0.2">
      <c r="A140" s="19" t="str">
        <f>Product!$A$32</f>
        <v>AAAI-13</v>
      </c>
      <c r="B140" s="20" t="str">
        <f>VLOOKUP($A140,Product!$A$13:$E$61,2,0)&amp;""</f>
        <v>Do you allow the customer to specify attribute mappings for any needed information beyond a user identifier? (e.g., Reference eduPerson, ePPA/ePPN/ePE)</v>
      </c>
      <c r="C140" s="46" t="str">
        <f>VLOOKUP($A140,Product!$A$13:$E$61,3,0)&amp;""</f>
        <v>No</v>
      </c>
      <c r="D140" s="35" t="str">
        <f>IF(LEFT(VLOOKUP($A140,Product!$A$13:$E$61,5,0),21)='Auto Responses'!$A$73,'Auto Responses'!$A$74,VLOOKUP($A140,Product!$A$13:$E$61,4,0))&amp;""</f>
        <v>Customers determine the following about the data stored in the Qualtrics platform:
• Which type of data to collect
• Who to collect data from
• Where to collect data
• What purpose
• When to delete the data
Qualtrics does not classify Data into sub-categories of confidential information. All Data is treated as confidential and is processed equally regardless of their content</v>
      </c>
      <c r="E140" s="331" t="str">
        <f>VLOOKUP($A140,Product!$A$13:$E$61,5,0)&amp;""</f>
        <v>Describe plans to allow customers to specify attribute mappings.</v>
      </c>
      <c r="F140" s="196"/>
      <c r="G140" s="31" t="str">
        <f>VLOOKUP($A140,Questions!$A$2:$X$333,21,0)&amp;""</f>
        <v>Yes</v>
      </c>
      <c r="H140" s="186"/>
      <c r="I140" s="46" t="str">
        <f>VLOOKUP($A140,Questions!$A$2:$X$333,23,0)&amp;""</f>
        <v>Standard Importance</v>
      </c>
      <c r="J140" s="186"/>
      <c r="K140" s="49" t="b">
        <v>0</v>
      </c>
      <c r="L140" s="1"/>
    </row>
    <row r="141" spans="1:12" s="30" customFormat="1" ht="90" x14ac:dyDescent="0.2">
      <c r="A141" s="19" t="str">
        <f>Product!$A$33</f>
        <v>AAAI-14</v>
      </c>
      <c r="B141" s="20" t="str">
        <f>VLOOKUP($A141,Product!$A$13:$E$61,2,0)&amp;""</f>
        <v>For customers not using SSO, does your application support directory integration for user accounts?</v>
      </c>
      <c r="C141" s="46" t="str">
        <f>VLOOKUP($A141,Product!$A$13:$E$61,3,0)&amp;""</f>
        <v>No</v>
      </c>
      <c r="D141" s="35" t="str">
        <f>IF(LEFT(VLOOKUP($A141,Product!$A$13:$E$61,5,0),21)='Auto Responses'!$A$73,'Auto Responses'!$A$74,VLOOKUP($A141,Product!$A$13:$E$61,4,0))&amp;""</f>
        <v>See Qualtrics HECVAT 2025 for more details: https://bcsse.iu.edu/doc/bcsse/Qualtrics%20HECVAT%202025.xlsx</v>
      </c>
      <c r="E141" s="331" t="str">
        <f>VLOOKUP($A141,Product!$A$13:$E$61,5,0)&amp;""</f>
        <v>Describe any plans to support external authentication services in place of local authentication.</v>
      </c>
      <c r="F141" s="196"/>
      <c r="G141" s="31" t="str">
        <f>VLOOKUP($A141,Questions!$A$2:$X$333,21,0)&amp;""</f>
        <v>Yes</v>
      </c>
      <c r="H141" s="186"/>
      <c r="I141" s="46" t="str">
        <f>VLOOKUP($A141,Questions!$A$2:$X$333,23,0)&amp;""</f>
        <v>Standard Importance</v>
      </c>
      <c r="J141" s="186"/>
      <c r="K141" s="49" t="b">
        <v>0</v>
      </c>
      <c r="L141" s="1"/>
    </row>
    <row r="142" spans="1:12" s="30" customFormat="1" ht="90" x14ac:dyDescent="0.2">
      <c r="A142" s="19" t="str">
        <f>Product!$A$34</f>
        <v>AAAI-15</v>
      </c>
      <c r="B142" s="20" t="str">
        <f>VLOOKUP($A142,Product!$A$13:$E$61,2,0)&amp;""</f>
        <v>Does your solution support any of the following web SSO standards: SAML2 (with redirect flow), OIDC, CAS, or other?</v>
      </c>
      <c r="C142" s="46" t="str">
        <f>VLOOKUP($A142,Product!$A$13:$E$61,3,0)&amp;""</f>
        <v>No</v>
      </c>
      <c r="D142" s="35" t="str">
        <f>IF(LEFT(VLOOKUP($A142,Product!$A$13:$E$61,5,0),21)='Auto Responses'!$A$73,'Auto Responses'!$A$74,VLOOKUP($A142,Product!$A$13:$E$61,4,0))&amp;""</f>
        <v>See Qualtrics HECVAT 2025 for more details: https://bcsse.iu.edu/doc/bcsse/Qualtrics%20HECVAT%202025.xlsx</v>
      </c>
      <c r="E142" s="331" t="str">
        <f>VLOOKUP($A142,Product!$A$13:$E$61,5,0)&amp;""</f>
        <v>Describe plans to support web SSO in your solution.</v>
      </c>
      <c r="F142" s="196"/>
      <c r="G142" s="31" t="str">
        <f>VLOOKUP($A142,Questions!$A$2:$X$333,21,0)&amp;""</f>
        <v>Yes</v>
      </c>
      <c r="H142" s="186"/>
      <c r="I142" s="46" t="str">
        <f>VLOOKUP($A142,Questions!$A$2:$X$333,23,0)&amp;""</f>
        <v>Minor Importance</v>
      </c>
      <c r="J142" s="186"/>
      <c r="K142" s="49" t="b">
        <v>0</v>
      </c>
      <c r="L142" s="1"/>
    </row>
    <row r="143" spans="1:12" s="30" customFormat="1" ht="15" x14ac:dyDescent="0.2">
      <c r="A143" s="19" t="str">
        <f>Product!$A$35</f>
        <v>AAAI-16</v>
      </c>
      <c r="B143" s="20" t="str">
        <f>VLOOKUP($A143,Product!$A$13:$E$61,2,0)&amp;""</f>
        <v>Do you support differentiation between email address and user identifier?</v>
      </c>
      <c r="C143" s="46" t="str">
        <f>VLOOKUP($A143,Product!$A$13:$E$61,3,0)&amp;""</f>
        <v>Yes</v>
      </c>
      <c r="D143" s="35" t="str">
        <f>IF(LEFT(VLOOKUP($A143,Product!$A$13:$E$61,5,0),21)='Auto Responses'!$A$73,'Auto Responses'!$A$74,VLOOKUP($A143,Product!$A$13:$E$61,4,0))&amp;""</f>
        <v/>
      </c>
      <c r="E143" s="331" t="str">
        <f>VLOOKUP($A143,Product!$A$13:$E$61,5,0)&amp;""</f>
        <v/>
      </c>
      <c r="F143" s="196"/>
      <c r="G143" s="31" t="str">
        <f>VLOOKUP($A143,Questions!$A$2:$X$333,21,0)&amp;""</f>
        <v>Yes</v>
      </c>
      <c r="H143" s="186"/>
      <c r="I143" s="46" t="str">
        <f>VLOOKUP($A143,Questions!$A$2:$X$333,23,0)&amp;""</f>
        <v>Minor Importance</v>
      </c>
      <c r="J143" s="186"/>
      <c r="K143" s="49" t="b">
        <v>0</v>
      </c>
      <c r="L143" s="1"/>
    </row>
    <row r="144" spans="1:12" s="30" customFormat="1" ht="75" x14ac:dyDescent="0.2">
      <c r="A144" s="19" t="str">
        <f>Product!$A$36</f>
        <v>AAAI-17</v>
      </c>
      <c r="B144" s="20" t="str">
        <f>VLOOKUP($A144,Product!$A$13:$E$61,2,0)&amp;""</f>
        <v>For customers not using SSO, does your application and/or user frontend/portal support multifactor authentication (e.g., Duo, Google Authenticator, OTP, etc.)?</v>
      </c>
      <c r="C144" s="46" t="str">
        <f>VLOOKUP($A144,Product!$A$13:$E$61,3,0)&amp;""</f>
        <v>No</v>
      </c>
      <c r="D144" s="35" t="str">
        <f>IF(LEFT(VLOOKUP($A144,Product!$A$13:$E$61,5,0),21)='Auto Responses'!$A$73,'Auto Responses'!$A$74,VLOOKUP($A144,Product!$A$13:$E$61,4,0))&amp;""</f>
        <v/>
      </c>
      <c r="E144" s="331" t="str">
        <f>VLOOKUP($A144,Product!$A$13:$E$61,5,0)&amp;""</f>
        <v>Based on the response to AAAI-01, this question does not apply to this product or service.</v>
      </c>
      <c r="F144" s="196"/>
      <c r="G144" s="31" t="str">
        <f>VLOOKUP($A144,Questions!$A$2:$X$333,21,0)&amp;""</f>
        <v>Yes</v>
      </c>
      <c r="H144" s="186"/>
      <c r="I144" s="46" t="str">
        <f>VLOOKUP($A144,Questions!$A$2:$X$333,23,0)&amp;""</f>
        <v>Minor Importance</v>
      </c>
      <c r="J144" s="186"/>
      <c r="K144" s="49" t="b">
        <v>0</v>
      </c>
      <c r="L144" s="1"/>
    </row>
    <row r="145" spans="1:12" s="30" customFormat="1" ht="90" x14ac:dyDescent="0.2">
      <c r="A145" s="19" t="str">
        <f>Product!$A$37</f>
        <v>AAAI-18</v>
      </c>
      <c r="B145" s="20" t="str">
        <f>VLOOKUP($A145,Product!$A$13:$E$61,2,0)&amp;""</f>
        <v>Does your application automatically lock the session or log out an account after a period of inactivity?</v>
      </c>
      <c r="C145" s="46" t="str">
        <f>VLOOKUP($A145,Product!$A$13:$E$61,3,0)&amp;""</f>
        <v>Yes</v>
      </c>
      <c r="D145" s="35" t="str">
        <f>IF(LEFT(VLOOKUP($A145,Product!$A$13:$E$61,5,0),21)='Auto Responses'!$A$73,'Auto Responses'!$A$74,VLOOKUP($A145,Product!$A$13:$E$61,4,0))&amp;""</f>
        <v>See Qualtrics HECVAT 2025 for more details: https://bcsse.iu.edu/doc/bcsse/Qualtrics%20HECVAT%202025.xlsx</v>
      </c>
      <c r="E145" s="331" t="str">
        <f>VLOOKUP($A145,Product!$A$13:$E$61,5,0)&amp;""</f>
        <v>Describe the default behavior of this capability.</v>
      </c>
      <c r="F145" s="196"/>
      <c r="G145" s="31" t="str">
        <f>VLOOKUP($A145,Questions!$A$2:$X$333,21,0)&amp;""</f>
        <v>Yes</v>
      </c>
      <c r="H145" s="186"/>
      <c r="I145" s="46" t="str">
        <f>VLOOKUP($A145,Questions!$A$2:$X$333,23,0)&amp;""</f>
        <v>Minor Importance</v>
      </c>
      <c r="J145" s="186"/>
      <c r="K145" s="49" t="b">
        <v>0</v>
      </c>
      <c r="L145" s="1"/>
    </row>
    <row r="146" spans="1:12" s="1" customFormat="1" ht="18" x14ac:dyDescent="0.2">
      <c r="A146" s="64" t="str">
        <f>VLOOKUP(LEFT($A147,4),'Auto Responses'!$N$4:$O$38,2,0)&amp;""</f>
        <v xml:space="preserve"> Data</v>
      </c>
      <c r="B146" s="23"/>
      <c r="C146" s="32"/>
      <c r="D146" s="32"/>
      <c r="E146" s="332"/>
      <c r="F146" s="133" t="s">
        <v>1066</v>
      </c>
      <c r="G146" s="336" t="s">
        <v>904</v>
      </c>
      <c r="H146" s="336" t="s">
        <v>906</v>
      </c>
      <c r="I146" s="336" t="s">
        <v>19</v>
      </c>
      <c r="J146" s="336" t="s">
        <v>891</v>
      </c>
      <c r="K146" s="32"/>
    </row>
    <row r="147" spans="1:12" s="30" customFormat="1" ht="42.75" x14ac:dyDescent="0.2">
      <c r="A147" s="19" t="str">
        <f>Product!$A$39</f>
        <v>DATA-01</v>
      </c>
      <c r="B147" s="20" t="str">
        <f>VLOOKUP($A147,Product!$A$13:$E$61,2,0)&amp;""</f>
        <v>Will the institution's data be stored on any devices (database servers, file servers, SAN, NAS, etc.) configured with non-RFC 1918/4193 (i.e., publicly routable) IP addresses?*</v>
      </c>
      <c r="C147" s="46" t="str">
        <f>VLOOKUP($A147,Product!$A$13:$E$61,3,0)&amp;""</f>
        <v>No</v>
      </c>
      <c r="D147" s="35" t="str">
        <f>IF(LEFT(VLOOKUP($A147,Product!$A$13:$E$61,5,0),21)='Auto Responses'!$A$32,'Auto Responses'!$A$33,VLOOKUP($A147,Product!$A$13:$E$61,4,0))&amp;""</f>
        <v/>
      </c>
      <c r="E147" s="331" t="str">
        <f>VLOOKUP($A147,Product!$A$13:$E$61,5,0)&amp;""</f>
        <v/>
      </c>
      <c r="F147" s="196"/>
      <c r="G147" s="31" t="str">
        <f>VLOOKUP($A147,Questions!$A$2:$X$333,21,0)&amp;""</f>
        <v>No</v>
      </c>
      <c r="H147" s="186"/>
      <c r="I147" s="46" t="str">
        <f>VLOOKUP($A147,Questions!$A$2:$X$333,23,0)&amp;""</f>
        <v>Critical Importance</v>
      </c>
      <c r="J147" s="186"/>
      <c r="K147" s="49" t="b">
        <v>0</v>
      </c>
      <c r="L147" s="1"/>
    </row>
    <row r="148" spans="1:12" s="30" customFormat="1" ht="405" x14ac:dyDescent="0.2">
      <c r="A148" s="19" t="str">
        <f>Product!$A$40</f>
        <v>DATA-02</v>
      </c>
      <c r="B148" s="20" t="str">
        <f>VLOOKUP($A148,Product!$A$13:$E$61,2,0)&amp;""</f>
        <v>Is the transport of sensitive data encrypted using security protocols/algorithms (e.g., system-to-client)?*</v>
      </c>
      <c r="C148" s="46" t="str">
        <f>VLOOKUP($A148,Product!$A$13:$E$61,3,0)&amp;""</f>
        <v>Yes</v>
      </c>
      <c r="D148" s="35" t="str">
        <f>IF(LEFT(VLOOKUP($A148,Product!$A$13:$E$61,5,0),21)='Auto Responses'!$A$32,'Auto Responses'!$A$33,VLOOKUP($A148,Product!$A$13:$E$61,4,0))&amp;""</f>
        <v>"All access to Qualtrics front-end Services is via Hypertext Transfer Protocol Secure (HTTPS) and enforces HTTP Strict Transport Security (HSTS). The platform supports Transport Layer Security (TLS) for all interaction with the platform. Access to the back-end services using the Qualtrics API supports TLS v1.2. Data is processed by
application servers and sent to database servers for storage. Respondent Data includes survey questions, graphics, and other content created in the survey design."</v>
      </c>
      <c r="E148" s="331" t="str">
        <f>VLOOKUP($A148,Product!$A$13:$E$61,5,0)&amp;""</f>
        <v>Summarize your transport encryption strategy.</v>
      </c>
      <c r="F148" s="196"/>
      <c r="G148" s="31" t="str">
        <f>VLOOKUP($A148,Questions!$A$2:$X$333,21,0)&amp;""</f>
        <v>Yes</v>
      </c>
      <c r="H148" s="186"/>
      <c r="I148" s="46" t="str">
        <f>VLOOKUP($A148,Questions!$A$2:$X$333,23,0)&amp;""</f>
        <v>Critical Importance</v>
      </c>
      <c r="J148" s="186"/>
      <c r="K148" s="49" t="b">
        <v>0</v>
      </c>
      <c r="L148" s="1"/>
    </row>
    <row r="149" spans="1:12" s="30" customFormat="1" ht="360" x14ac:dyDescent="0.2">
      <c r="A149" s="19" t="str">
        <f>Product!$A$41</f>
        <v>DATA-03</v>
      </c>
      <c r="B149" s="20" t="str">
        <f>VLOOKUP($A149,Product!$A$13:$E$61,2,0)&amp;""</f>
        <v>Is the storage of sensitive data encrypted using security protocols/algorithms (e.g., disk encryption, at-rest, files, and within a running database)?*</v>
      </c>
      <c r="C149" s="46" t="str">
        <f>VLOOKUP($A149,Product!$A$13:$E$61,3,0)&amp;""</f>
        <v>Yes</v>
      </c>
      <c r="D149" s="35" t="str">
        <f>IF(LEFT(VLOOKUP($A149,Product!$A$13:$E$61,5,0),21)='Auto Responses'!$A$32,'Auto Responses'!$A$33,VLOOKUP($A149,Product!$A$13:$E$61,4,0))&amp;""</f>
        <v>IU: see IU Data Management https://datamanagement.iu.edu/index.html
Qualtrics: Disk level encryption is standard for Data stored on the platform. Data at rest uses AES 256-bit encryption. Unique keys are generated per server or data storage volume. Encryption keys are stored within a software vault where they are encrypted with key encrypting keys of equivalent strength. Keys are rotated whenever data storage volumes are rebuilt.</v>
      </c>
      <c r="E149" s="331" t="str">
        <f>VLOOKUP($A149,Product!$A$13:$E$61,5,0)&amp;""</f>
        <v>Summarize your data encryption strategy and state what encryption options are available.</v>
      </c>
      <c r="F149" s="196"/>
      <c r="G149" s="31" t="str">
        <f>VLOOKUP($A149,Questions!$A$2:$X$333,21,0)&amp;""</f>
        <v>Yes</v>
      </c>
      <c r="H149" s="186"/>
      <c r="I149" s="46" t="str">
        <f>VLOOKUP($A149,Questions!$A$2:$X$333,23,0)&amp;""</f>
        <v>Critical Importance</v>
      </c>
      <c r="J149" s="186"/>
      <c r="K149" s="49" t="b">
        <v>0</v>
      </c>
      <c r="L149" s="1"/>
    </row>
    <row r="150" spans="1:12" s="30" customFormat="1" ht="409.5" x14ac:dyDescent="0.2">
      <c r="A150" s="19" t="str">
        <f>Product!$A$42</f>
        <v>DATA-04</v>
      </c>
      <c r="B150" s="20" t="str">
        <f>VLOOKUP($A150,Product!$A$13:$E$61,2,0)&amp;""</f>
        <v>Do all cryptographic modules in use in your solution conform to the Federal Information Processing Standards (FIPS PUB 140-2 or 140-3)?*</v>
      </c>
      <c r="C150" s="46" t="str">
        <f>VLOOKUP($A150,Product!$A$13:$E$61,3,0)&amp;""</f>
        <v>No</v>
      </c>
      <c r="D150" s="35" t="str">
        <f>IF(LEFT(VLOOKUP($A150,Product!$A$13:$E$61,5,0),21)='Auto Responses'!$A$32,'Auto Responses'!$A$33,VLOOKUP($A150,Product!$A$13:$E$61,4,0))&amp;""</f>
        <v>Qualtrics: The Federal Information Processing Standards (FIPS) Publication Series of the National Institute of Standards and Technology (NIST) is the official series of publications relating to standards and guidelines adopted and promulgated under the provisions of the Federal Information Security Management Act (FISMA) of 2002. Publication 200, “Minimum Security Requirements for Federal Information and Information Systems” proposes a basis for sound security practices in any organization. Qualtrics meets all requirements as listed in section 3, such as security training, incident response, media protection, and risk assessment. In-transit data (using TLS) are encrypted using FIPS-compliant modules</v>
      </c>
      <c r="E150" s="331" t="str">
        <f>VLOOKUP($A150,Product!$A$13:$E$61,5,0)&amp;""</f>
        <v>Provide a detailed description of all non-conforming modules.</v>
      </c>
      <c r="F150" s="196"/>
      <c r="G150" s="31" t="str">
        <f>VLOOKUP($A150,Questions!$A$2:$X$333,21,0)&amp;""</f>
        <v>Yes</v>
      </c>
      <c r="H150" s="186"/>
      <c r="I150" s="46" t="str">
        <f>VLOOKUP($A150,Questions!$A$2:$X$333,23,0)&amp;""</f>
        <v>Critical Importance</v>
      </c>
      <c r="J150" s="186"/>
      <c r="K150" s="49" t="b">
        <v>0</v>
      </c>
      <c r="L150" s="1"/>
    </row>
    <row r="151" spans="1:12" s="30" customFormat="1" ht="105" x14ac:dyDescent="0.2">
      <c r="A151" s="19" t="str">
        <f>Product!$A$43</f>
        <v>DATA-05</v>
      </c>
      <c r="B151" s="20" t="str">
        <f>VLOOKUP($A151,Product!$A$13:$E$61,2,0)&amp;""</f>
        <v>Will the institution's data be available within the system for a period of time at the completion of this contract?*</v>
      </c>
      <c r="C151" s="46" t="str">
        <f>VLOOKUP($A151,Product!$A$13:$E$61,3,0)&amp;""</f>
        <v>Yes</v>
      </c>
      <c r="D151" s="35" t="str">
        <f>IF(LEFT(VLOOKUP($A151,Product!$A$13:$E$61,5,0),21)='Auto Responses'!$A$32,'Auto Responses'!$A$33,VLOOKUP($A151,Product!$A$13:$E$61,4,0))&amp;""</f>
        <v>NSSE Shorts stores all data in perpetuity as an archive for each institution.</v>
      </c>
      <c r="E151" s="331" t="str">
        <f>VLOOKUP($A151,Product!$A$13:$E$61,5,0)&amp;""</f>
        <v>State the length of time that the institution's data will be available in the system at the completion of the contract.</v>
      </c>
      <c r="F151" s="196"/>
      <c r="G151" s="31" t="str">
        <f>VLOOKUP($A151,Questions!$A$2:$X$333,21,0)&amp;""</f>
        <v>Yes</v>
      </c>
      <c r="H151" s="186"/>
      <c r="I151" s="46" t="str">
        <f>VLOOKUP($A151,Questions!$A$2:$X$333,23,0)&amp;""</f>
        <v>Critical Importance</v>
      </c>
      <c r="J151" s="186"/>
      <c r="K151" s="49" t="b">
        <v>0</v>
      </c>
      <c r="L151" s="1"/>
    </row>
    <row r="152" spans="1:12" s="30" customFormat="1" ht="30" x14ac:dyDescent="0.2">
      <c r="A152" s="19" t="str">
        <f>Product!$A$44</f>
        <v>DATA-06</v>
      </c>
      <c r="B152" s="20" t="str">
        <f>VLOOKUP($A152,Product!$A$13:$E$61,2,0)&amp;""</f>
        <v>Are ownership rights to all data, inputs, outputs, and metadata retained even through a provider acquisition or bankruptcy event?*</v>
      </c>
      <c r="C152" s="46" t="str">
        <f>VLOOKUP($A152,Product!$A$13:$E$61,3,0)&amp;""</f>
        <v>Yes</v>
      </c>
      <c r="D152" s="35" t="str">
        <f>IF(LEFT(VLOOKUP($A152,Product!$A$13:$E$61,5,0),21)='Auto Responses'!$A$32,'Auto Responses'!$A$33,VLOOKUP($A152,Product!$A$13:$E$61,4,0))&amp;""</f>
        <v>Customers own their data at all times.</v>
      </c>
      <c r="E152" s="331" t="str">
        <f>VLOOKUP($A152,Product!$A$13:$E$61,5,0)&amp;""</f>
        <v>Provide references, as needed.</v>
      </c>
      <c r="F152" s="196"/>
      <c r="G152" s="31" t="str">
        <f>VLOOKUP($A152,Questions!$A$2:$X$333,21,0)&amp;""</f>
        <v>Yes</v>
      </c>
      <c r="H152" s="186"/>
      <c r="I152" s="46" t="str">
        <f>VLOOKUP($A152,Questions!$A$2:$X$333,23,0)&amp;""</f>
        <v>Critical Importance</v>
      </c>
      <c r="J152" s="186"/>
      <c r="K152" s="49" t="b">
        <v>0</v>
      </c>
      <c r="L152" s="1"/>
    </row>
    <row r="153" spans="1:12" s="30" customFormat="1" ht="75" x14ac:dyDescent="0.2">
      <c r="A153" s="19" t="str">
        <f>Product!$A$45</f>
        <v>DATA-07</v>
      </c>
      <c r="B153" s="20" t="str">
        <f>VLOOKUP($A153,Product!$A$13:$E$61,2,0)&amp;""</f>
        <v>Do backups containing the institution's data ever leave the institution's data zone either physically or via network routing?*</v>
      </c>
      <c r="C153" s="46" t="str">
        <f>VLOOKUP($A153,Product!$A$13:$E$61,3,0)&amp;""</f>
        <v>Yes</v>
      </c>
      <c r="D153" s="35" t="str">
        <f>IF(LEFT(VLOOKUP($A153,Product!$A$13:$E$61,5,0),21)='Auto Responses'!$A$32,'Auto Responses'!$A$33,VLOOKUP($A153,Product!$A$13:$E$61,4,0))&amp;""</f>
        <v>Data are stored at IU in Bloomington Indiana and in Qualtrics platform</v>
      </c>
      <c r="E153" s="331" t="str">
        <f>VLOOKUP($A153,Product!$A$13:$E$61,5,0)&amp;""</f>
        <v>Summarize why backups containing the institution's data leave the institution's data zone.</v>
      </c>
      <c r="F153" s="196"/>
      <c r="G153" s="31" t="str">
        <f>VLOOKUP($A153,Questions!$A$2:$X$333,21,0)&amp;""</f>
        <v>No</v>
      </c>
      <c r="H153" s="186"/>
      <c r="I153" s="46" t="str">
        <f>VLOOKUP($A153,Questions!$A$2:$X$333,23,0)&amp;""</f>
        <v>Critical Importance</v>
      </c>
      <c r="J153" s="186"/>
      <c r="K153" s="49" t="b">
        <v>0</v>
      </c>
      <c r="L153" s="1"/>
    </row>
    <row r="154" spans="1:12" s="30" customFormat="1" ht="45" x14ac:dyDescent="0.2">
      <c r="A154" s="19" t="str">
        <f>Product!$A$46</f>
        <v>DATA-08</v>
      </c>
      <c r="B154" s="20" t="str">
        <f>VLOOKUP($A154,Product!$A$13:$E$61,2,0)&amp;""</f>
        <v>Is media used for long-term retention of business data and archival purposes stored in a secure, environmentally protected area?*</v>
      </c>
      <c r="C154" s="46" t="str">
        <f>VLOOKUP($A154,Product!$A$13:$E$61,3,0)&amp;""</f>
        <v>Yes</v>
      </c>
      <c r="D154" s="35" t="str">
        <f>IF(LEFT(VLOOKUP($A154,Product!$A$13:$E$61,5,0),21)='Auto Responses'!$A$32,'Auto Responses'!$A$33,VLOOKUP($A154,Product!$A$13:$E$61,4,0))&amp;""</f>
        <v/>
      </c>
      <c r="E154" s="331" t="str">
        <f>VLOOKUP($A154,Product!$A$13:$E$61,5,0)&amp;""</f>
        <v>Provide a general summary of your archival environment.</v>
      </c>
      <c r="F154" s="196"/>
      <c r="G154" s="31" t="str">
        <f>VLOOKUP($A154,Questions!$A$2:$X$333,21,0)&amp;""</f>
        <v>Yes</v>
      </c>
      <c r="H154" s="186"/>
      <c r="I154" s="46" t="str">
        <f>VLOOKUP($A154,Questions!$A$2:$X$333,23,0)&amp;""</f>
        <v>Critical Importance</v>
      </c>
      <c r="J154" s="186"/>
      <c r="K154" s="49" t="b">
        <v>0</v>
      </c>
      <c r="L154" s="1"/>
    </row>
    <row r="155" spans="1:12" s="30" customFormat="1" ht="105" x14ac:dyDescent="0.2">
      <c r="A155" s="19" t="str">
        <f>Product!$A$47</f>
        <v>DATA-09</v>
      </c>
      <c r="B155" s="20" t="str">
        <f>VLOOKUP($A155,Product!$A$13:$E$61,2,0)&amp;""</f>
        <v>At the completion of this contract, will data be returned to the institution and/or deleted from all your systems and archives?</v>
      </c>
      <c r="C155" s="46" t="str">
        <f>VLOOKUP($A155,Product!$A$13:$E$61,3,0)&amp;""</f>
        <v>Yes</v>
      </c>
      <c r="D155" s="35" t="str">
        <f>IF(LEFT(VLOOKUP($A155,Product!$A$13:$E$61,5,0),21)='Auto Responses'!$A$32,'Auto Responses'!$A$33,VLOOKUP($A155,Product!$A$13:$E$61,4,0))&amp;""</f>
        <v>All data are available for download at anytime by the institution</v>
      </c>
      <c r="E155" s="331" t="str">
        <f>VLOOKUP($A155,Product!$A$13:$E$61,5,0)&amp;""</f>
        <v>State the length of time that the institution's data will be available in the system at the completion of the contract.</v>
      </c>
      <c r="F155" s="196"/>
      <c r="G155" s="31" t="str">
        <f>VLOOKUP($A155,Questions!$A$2:$X$333,21,0)&amp;""</f>
        <v>Yes</v>
      </c>
      <c r="H155" s="186"/>
      <c r="I155" s="46" t="str">
        <f>VLOOKUP($A155,Questions!$A$2:$X$333,23,0)&amp;""</f>
        <v>Standard Importance</v>
      </c>
      <c r="J155" s="186"/>
      <c r="K155" s="49" t="b">
        <v>0</v>
      </c>
      <c r="L155" s="1"/>
    </row>
    <row r="156" spans="1:12" s="30" customFormat="1" ht="75" x14ac:dyDescent="0.2">
      <c r="A156" s="19" t="str">
        <f>Product!$A$48</f>
        <v>DATA-10</v>
      </c>
      <c r="B156" s="20" t="str">
        <f>VLOOKUP($A156,Product!$A$13:$E$61,2,0)&amp;""</f>
        <v>Can the institution extract a full or partial backup of data?</v>
      </c>
      <c r="C156" s="46" t="str">
        <f>VLOOKUP($A156,Product!$A$13:$E$61,3,0)&amp;""</f>
        <v>Yes</v>
      </c>
      <c r="D156" s="35" t="str">
        <f>IF(LEFT(VLOOKUP($A156,Product!$A$13:$E$61,5,0),21)='Auto Responses'!$A$32,'Auto Responses'!$A$33,VLOOKUP($A156,Product!$A$13:$E$61,4,0))&amp;""</f>
        <v>All data are available for download at anytime by the institution</v>
      </c>
      <c r="E156" s="331" t="str">
        <f>VLOOKUP($A156,Product!$A$13:$E$61,5,0)&amp;""</f>
        <v>Provide a general summary of how full and partial backups of data can be extracted.</v>
      </c>
      <c r="F156" s="196"/>
      <c r="G156" s="31" t="str">
        <f>VLOOKUP($A156,Questions!$A$2:$X$333,21,0)&amp;""</f>
        <v>Yes</v>
      </c>
      <c r="H156" s="186"/>
      <c r="I156" s="46" t="str">
        <f>VLOOKUP($A156,Questions!$A$2:$X$333,23,0)&amp;""</f>
        <v>Standard Importance</v>
      </c>
      <c r="J156" s="186"/>
      <c r="K156" s="49" t="b">
        <v>0</v>
      </c>
      <c r="L156" s="1"/>
    </row>
    <row r="157" spans="1:12" s="30" customFormat="1" ht="60" x14ac:dyDescent="0.2">
      <c r="A157" s="19" t="str">
        <f>Product!$A$49</f>
        <v>DATA-11</v>
      </c>
      <c r="B157" s="20" t="str">
        <f>VLOOKUP($A157,Product!$A$13:$E$61,2,0)&amp;""</f>
        <v>Do current backups include all operating system software, utilities, security software, application software, and data files necessary for recovery?</v>
      </c>
      <c r="C157" s="46" t="str">
        <f>VLOOKUP($A157,Product!$A$13:$E$61,3,0)&amp;""</f>
        <v>Yes</v>
      </c>
      <c r="D157" s="35" t="str">
        <f>IF(LEFT(VLOOKUP($A157,Product!$A$13:$E$61,5,0),21)='Auto Responses'!$A$32,'Auto Responses'!$A$33,VLOOKUP($A157,Product!$A$13:$E$61,4,0))&amp;""</f>
        <v/>
      </c>
      <c r="E157" s="331" t="str">
        <f>VLOOKUP($A157,Product!$A$13:$E$61,5,0)&amp;""</f>
        <v>Decribe your overall strategy to accomplish these elements.</v>
      </c>
      <c r="F157" s="196"/>
      <c r="G157" s="31" t="str">
        <f>VLOOKUP($A157,Questions!$A$2:$X$333,21,0)&amp;""</f>
        <v>Yes</v>
      </c>
      <c r="H157" s="186"/>
      <c r="I157" s="46" t="str">
        <f>VLOOKUP($A157,Questions!$A$2:$X$333,23,0)&amp;""</f>
        <v>Standard Importance</v>
      </c>
      <c r="J157" s="186"/>
      <c r="K157" s="49" t="b">
        <v>0</v>
      </c>
      <c r="L157" s="1"/>
    </row>
    <row r="158" spans="1:12" s="30" customFormat="1" ht="60" x14ac:dyDescent="0.2">
      <c r="A158" s="19" t="str">
        <f>Product!$A$50</f>
        <v>DATA-12</v>
      </c>
      <c r="B158" s="20" t="str">
        <f>VLOOKUP($A158,Product!$A$13:$E$61,2,0)&amp;""</f>
        <v>Are you performing off-site backups (i.e., digitally moved off site)?</v>
      </c>
      <c r="C158" s="46" t="str">
        <f>VLOOKUP($A158,Product!$A$13:$E$61,3,0)&amp;""</f>
        <v>No</v>
      </c>
      <c r="D158" s="35" t="str">
        <f>IF(LEFT(VLOOKUP($A158,Product!$A$13:$E$61,5,0),21)='Auto Responses'!$A$32,'Auto Responses'!$A$33,VLOOKUP($A158,Product!$A$13:$E$61,4,0))&amp;""</f>
        <v/>
      </c>
      <c r="E158" s="331" t="str">
        <f>VLOOKUP($A158,Product!$A$13:$E$61,5,0)&amp;""</f>
        <v>State any plans to implement off-site virtual backups in your environment.</v>
      </c>
      <c r="F158" s="196"/>
      <c r="G158" s="31" t="str">
        <f>VLOOKUP($A158,Questions!$A$2:$X$333,21,0)&amp;""</f>
        <v>Yes</v>
      </c>
      <c r="H158" s="186"/>
      <c r="I158" s="46" t="str">
        <f>VLOOKUP($A158,Questions!$A$2:$X$333,23,0)&amp;""</f>
        <v>Standard Importance</v>
      </c>
      <c r="J158" s="186"/>
      <c r="K158" s="49" t="b">
        <v>0</v>
      </c>
      <c r="L158" s="1"/>
    </row>
    <row r="159" spans="1:12" s="30" customFormat="1" ht="60" x14ac:dyDescent="0.2">
      <c r="A159" s="19" t="str">
        <f>Product!$A$51</f>
        <v>DATA-13</v>
      </c>
      <c r="B159" s="20" t="str">
        <f>VLOOKUP($A159,Product!$A$13:$E$61,2,0)&amp;""</f>
        <v>Are physical backups taken off-site (i.e., physically moved off site)?</v>
      </c>
      <c r="C159" s="46" t="str">
        <f>VLOOKUP($A159,Product!$A$13:$E$61,3,0)&amp;""</f>
        <v>No</v>
      </c>
      <c r="D159" s="35" t="str">
        <f>IF(LEFT(VLOOKUP($A159,Product!$A$13:$E$61,5,0),21)='Auto Responses'!$A$32,'Auto Responses'!$A$33,VLOOKUP($A159,Product!$A$13:$E$61,4,0))&amp;""</f>
        <v/>
      </c>
      <c r="E159" s="331" t="str">
        <f>VLOOKUP($A159,Product!$A$13:$E$61,5,0)&amp;""</f>
        <v>State any plans to implement off-site physical backups in your environment.</v>
      </c>
      <c r="F159" s="196"/>
      <c r="G159" s="31" t="str">
        <f>VLOOKUP($A159,Questions!$A$2:$X$333,21,0)&amp;""</f>
        <v>Yes</v>
      </c>
      <c r="H159" s="186"/>
      <c r="I159" s="46" t="str">
        <f>VLOOKUP($A159,Questions!$A$2:$X$333,23,0)&amp;""</f>
        <v>Standard Importance</v>
      </c>
      <c r="J159" s="186"/>
      <c r="K159" s="49" t="b">
        <v>0</v>
      </c>
      <c r="L159" s="1"/>
    </row>
    <row r="160" spans="1:12" s="30" customFormat="1" ht="45" x14ac:dyDescent="0.2">
      <c r="A160" s="19" t="str">
        <f>Product!$A$52</f>
        <v>DATA-14</v>
      </c>
      <c r="B160" s="20" t="str">
        <f>VLOOKUP($A160,Product!$A$13:$E$61,2,0)&amp;""</f>
        <v>Are data backups encrypted?</v>
      </c>
      <c r="C160" s="46" t="str">
        <f>VLOOKUP($A160,Product!$A$13:$E$61,3,0)&amp;""</f>
        <v>No</v>
      </c>
      <c r="D160" s="35" t="str">
        <f>IF(LEFT(VLOOKUP($A160,Product!$A$13:$E$61,5,0),21)='Auto Responses'!$A$32,'Auto Responses'!$A$33,VLOOKUP($A160,Product!$A$13:$E$61,4,0))&amp;""</f>
        <v>All data are stored on secure IU servers and at Qualtrics</v>
      </c>
      <c r="E160" s="331" t="str">
        <f>VLOOKUP($A160,Product!$A$13:$E$61,5,0)&amp;""</f>
        <v>Summarize why backups are not encrypted.</v>
      </c>
      <c r="F160" s="196"/>
      <c r="G160" s="31" t="str">
        <f>VLOOKUP($A160,Questions!$A$2:$X$333,21,0)&amp;""</f>
        <v>Yes</v>
      </c>
      <c r="H160" s="186"/>
      <c r="I160" s="46" t="str">
        <f>VLOOKUP($A160,Questions!$A$2:$X$333,23,0)&amp;""</f>
        <v>Minor Importance</v>
      </c>
      <c r="J160" s="186"/>
      <c r="K160" s="49" t="b">
        <v>0</v>
      </c>
      <c r="L160" s="1"/>
    </row>
    <row r="161" spans="1:12" s="30" customFormat="1" ht="120" x14ac:dyDescent="0.2">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6" t="str">
        <f>VLOOKUP($A161,Product!$A$13:$E$61,3,0)&amp;""</f>
        <v>No</v>
      </c>
      <c r="D161" s="35" t="str">
        <f>IF(LEFT(VLOOKUP($A161,Product!$A$13:$E$61,5,0),21)='Auto Responses'!$A$32,'Auto Responses'!$A$33,VLOOKUP($A161,Product!$A$13:$E$61,4,0))&amp;""</f>
        <v>NSSE Shorts as a project does not. See Qualtrics HECVAT 2025 for more details: https://bcsse.iu.edu/doc/bcsse/Qualtrics%20HECVAT%202025.xlsx</v>
      </c>
      <c r="E161" s="331" t="str">
        <f>VLOOKUP($A161,Product!$A$13:$E$61,5,0)&amp;""</f>
        <v>Provide a detailed summary of media handling processes that do exist.</v>
      </c>
      <c r="F161" s="196"/>
      <c r="G161" s="31" t="str">
        <f>VLOOKUP($A161,Questions!$A$2:$X$333,21,0)&amp;""</f>
        <v>Yes</v>
      </c>
      <c r="H161" s="186"/>
      <c r="I161" s="46" t="str">
        <f>VLOOKUP($A161,Questions!$A$2:$X$333,23,0)&amp;""</f>
        <v>Standard Importance</v>
      </c>
      <c r="J161" s="186"/>
      <c r="K161" s="49" t="b">
        <v>0</v>
      </c>
      <c r="L161" s="1"/>
    </row>
    <row r="162" spans="1:12" s="30" customFormat="1" ht="120" x14ac:dyDescent="0.2">
      <c r="A162" s="19" t="str">
        <f>Product!$A$54</f>
        <v>DATA-16</v>
      </c>
      <c r="B162" s="20" t="str">
        <f>VLOOKUP($A162,Product!$A$13:$E$61,2,0)&amp;""</f>
        <v>Does the process described in DATA-15 adhere to DoD 5220.22-M and/or NIST SP 800-88 standards?</v>
      </c>
      <c r="C162" s="46" t="str">
        <f>VLOOKUP($A162,Product!$A$13:$E$61,3,0)&amp;""</f>
        <v>No</v>
      </c>
      <c r="D162" s="35" t="str">
        <f>IF(LEFT(VLOOKUP($A162,Product!$A$13:$E$61,5,0),21)='Auto Responses'!$A$32,'Auto Responses'!$A$33,VLOOKUP($A162,Product!$A$13:$E$61,4,0))&amp;""</f>
        <v>NSSE Shorts as a project does not. See Qualtrics HECVAT 2025 for more details: https://bcsse.iu.edu/doc/bcsse/Qualtrics%20HECVAT%202025.xlsx</v>
      </c>
      <c r="E162" s="331" t="str">
        <f>VLOOKUP($A162,Product!$A$13:$E$61,5,0)&amp;""</f>
        <v>State plans to adhere to DoD 5220.22-M and/or NIST SP 800-88 standards.</v>
      </c>
      <c r="F162" s="196"/>
      <c r="G162" s="31" t="str">
        <f>VLOOKUP($A162,Questions!$A$2:$X$333,21,0)&amp;""</f>
        <v>Yes</v>
      </c>
      <c r="H162" s="186"/>
      <c r="I162" s="46" t="str">
        <f>VLOOKUP($A162,Questions!$A$2:$X$333,23,0)&amp;""</f>
        <v>Standard Importance</v>
      </c>
      <c r="J162" s="186"/>
      <c r="K162" s="49" t="b">
        <v>0</v>
      </c>
      <c r="L162" s="1"/>
    </row>
    <row r="163" spans="1:12" s="30" customFormat="1" ht="60" x14ac:dyDescent="0.2">
      <c r="A163" s="19" t="str">
        <f>Product!$A$55</f>
        <v>DATA-17</v>
      </c>
      <c r="B163" s="20" t="str">
        <f>VLOOKUP($A163,Product!$A$13:$E$61,2,0)&amp;""</f>
        <v>Does your staff (or third party) have access to institutional data (e.g., financial, PHI, or other sensitive information) through any means?</v>
      </c>
      <c r="C163" s="46" t="str">
        <f>VLOOKUP($A163,Product!$A$13:$E$61,3,0)&amp;""</f>
        <v>Yes</v>
      </c>
      <c r="D163" s="35" t="str">
        <f>IF(LEFT(VLOOKUP($A163,Product!$A$13:$E$61,5,0),21)='Auto Responses'!$A$32,'Auto Responses'!$A$33,VLOOKUP($A163,Product!$A$13:$E$61,4,0))&amp;""</f>
        <v>NSSE Shorts staff have access to student survey data</v>
      </c>
      <c r="E163" s="331" t="str">
        <f>VLOOKUP($A163,Product!$A$13:$E$61,5,0)&amp;""</f>
        <v>Summarize what access staff (or third parties) have to institutional data.</v>
      </c>
      <c r="F163" s="196"/>
      <c r="G163" s="31" t="str">
        <f>VLOOKUP($A163,Questions!$A$2:$X$333,21,0)&amp;""</f>
        <v>No</v>
      </c>
      <c r="H163" s="186"/>
      <c r="I163" s="46" t="str">
        <f>VLOOKUP($A163,Questions!$A$2:$X$333,23,0)&amp;""</f>
        <v>Standard Importance</v>
      </c>
      <c r="J163" s="186"/>
      <c r="K163" s="49" t="b">
        <v>0</v>
      </c>
      <c r="L163" s="1"/>
    </row>
    <row r="164" spans="1:12" s="30" customFormat="1" ht="90" x14ac:dyDescent="0.2">
      <c r="A164" s="19" t="str">
        <f>Product!$A$56</f>
        <v>DATA-18</v>
      </c>
      <c r="B164" s="20" t="str">
        <f>VLOOKUP($A164,Product!$A$13:$E$61,2,0)&amp;""</f>
        <v>Do you have a documented and currently implemented strategy for securing employee workstations when they work remotely (i.e., not in a trusted computing environment)?</v>
      </c>
      <c r="C164" s="46" t="str">
        <f>VLOOKUP($A164,Product!$A$13:$E$61,3,0)&amp;""</f>
        <v>Yes</v>
      </c>
      <c r="D164" s="35" t="str">
        <f>IF(LEFT(VLOOKUP($A164,Product!$A$13:$E$61,5,0),21)='Auto Responses'!$A$32,'Auto Responses'!$A$33,VLOOKUP($A164,Product!$A$13:$E$61,4,0))&amp;""</f>
        <v xml:space="preserve">All remote access controlled by Indiana University. </v>
      </c>
      <c r="E164" s="331" t="str">
        <f>VLOOKUP($A164,Product!$A$13:$E$61,5,0)&amp;""</f>
        <v>Provide a detailed summary outlining the security controls implemented to protect the institution's data.</v>
      </c>
      <c r="F164" s="196"/>
      <c r="G164" s="31" t="str">
        <f>VLOOKUP($A164,Questions!$A$2:$X$333,21,0)&amp;""</f>
        <v>Yes</v>
      </c>
      <c r="H164" s="186"/>
      <c r="I164" s="46" t="str">
        <f>VLOOKUP($A164,Questions!$A$2:$X$333,23,0)&amp;""</f>
        <v>Standard Importance</v>
      </c>
      <c r="J164" s="186"/>
      <c r="K164" s="49" t="b">
        <v>0</v>
      </c>
      <c r="L164" s="1"/>
    </row>
    <row r="165" spans="1:12" s="30" customFormat="1" ht="195" x14ac:dyDescent="0.2">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6" t="str">
        <f>VLOOKUP($A165,Product!$A$13:$E$61,3,0)&amp;""</f>
        <v>No</v>
      </c>
      <c r="D165" s="35" t="str">
        <f>IF(LEFT(VLOOKUP($A165,Product!$A$13:$E$61,5,0),21)='Auto Responses'!$A$32,'Auto Responses'!$A$33,VLOOKUP($A165,Product!$A$13:$E$61,4,0))&amp;""</f>
        <v>All institutional data are logically segmented by UNITID (institutional IPEDS number), user, and survey ID, as well as hidden behind the user's login credentials. An institutional user can only access data and reports associated with their institution</v>
      </c>
      <c r="E165" s="331" t="str">
        <f>VLOOKUP($A165,Product!$A$13:$E$61,5,0)&amp;""</f>
        <v>Describe your plan to separate institution data from that of other customers.</v>
      </c>
      <c r="F165" s="196"/>
      <c r="G165" s="31" t="str">
        <f>VLOOKUP($A165,Questions!$A$2:$X$333,21,0)&amp;""</f>
        <v>Yes</v>
      </c>
      <c r="H165" s="186"/>
      <c r="I165" s="46" t="str">
        <f>VLOOKUP($A165,Questions!$A$2:$X$333,23,0)&amp;""</f>
        <v>Minor Importance</v>
      </c>
      <c r="J165" s="186"/>
      <c r="K165" s="49" t="b">
        <v>0</v>
      </c>
      <c r="L165" s="1"/>
    </row>
    <row r="166" spans="1:12" s="30" customFormat="1" ht="45" x14ac:dyDescent="0.2">
      <c r="A166" s="19" t="str">
        <f>Product!$A$58</f>
        <v>DATA-20</v>
      </c>
      <c r="B166" s="20" t="str">
        <f>VLOOKUP($A166,Product!$A$13:$E$61,2,0)&amp;""</f>
        <v>Are ownership rights to all data, inputs, outputs, and metadata retained by the institution?</v>
      </c>
      <c r="C166" s="46" t="str">
        <f>VLOOKUP($A166,Product!$A$13:$E$61,3,0)&amp;""</f>
        <v>Yes</v>
      </c>
      <c r="D166" s="35" t="str">
        <f>IF(LEFT(VLOOKUP($A166,Product!$A$13:$E$61,5,0),21)='Auto Responses'!$A$32,'Auto Responses'!$A$33,VLOOKUP($A166,Product!$A$13:$E$61,4,0))&amp;""</f>
        <v/>
      </c>
      <c r="E166" s="331" t="str">
        <f>VLOOKUP($A166,Product!$A$13:$E$61,5,0)&amp;""</f>
        <v>Provide reference to your data ownership documention.</v>
      </c>
      <c r="F166" s="196"/>
      <c r="G166" s="31" t="str">
        <f>VLOOKUP($A166,Questions!$A$2:$X$333,21,0)&amp;""</f>
        <v>Yes</v>
      </c>
      <c r="H166" s="186"/>
      <c r="I166" s="46" t="str">
        <f>VLOOKUP($A166,Questions!$A$2:$X$333,23,0)&amp;""</f>
        <v>Minor Importance</v>
      </c>
      <c r="J166" s="186"/>
      <c r="K166" s="49" t="b">
        <v>0</v>
      </c>
      <c r="L166" s="1"/>
    </row>
    <row r="167" spans="1:12" s="30" customFormat="1" ht="60" x14ac:dyDescent="0.2">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6" t="str">
        <f>VLOOKUP($A167,Product!$A$13:$E$61,3,0)&amp;""</f>
        <v>Yes</v>
      </c>
      <c r="D167" s="35" t="str">
        <f>IF(LEFT(VLOOKUP($A167,Product!$A$13:$E$61,5,0),21)='Auto Responses'!$A$32,'Auto Responses'!$A$33,VLOOKUP($A167,Product!$A$13:$E$61,4,0))&amp;""</f>
        <v/>
      </c>
      <c r="E167" s="331" t="str">
        <f>VLOOKUP($A167,Product!$A$13:$E$61,5,0)&amp;""</f>
        <v>State how the institution will be notified of imminent termination.</v>
      </c>
      <c r="F167" s="196"/>
      <c r="G167" s="31" t="str">
        <f>VLOOKUP($A167,Questions!$A$2:$X$333,21,0)&amp;""</f>
        <v>Yes</v>
      </c>
      <c r="H167" s="186"/>
      <c r="I167" s="46" t="str">
        <f>VLOOKUP($A167,Questions!$A$2:$X$333,23,0)&amp;""</f>
        <v>Minor Importance</v>
      </c>
      <c r="J167" s="186"/>
      <c r="K167" s="49" t="b">
        <v>0</v>
      </c>
      <c r="L167" s="1"/>
    </row>
    <row r="168" spans="1:12" s="30" customFormat="1" ht="120" x14ac:dyDescent="0.2">
      <c r="A168" s="19" t="str">
        <f>Product!$A$60</f>
        <v>DATA-22</v>
      </c>
      <c r="B168" s="20" t="str">
        <f>VLOOKUP($A168,Product!$A$13:$E$61,2,0)&amp;""</f>
        <v>Are involatile backup copies made according to predefined schedules and securely stored and protected?</v>
      </c>
      <c r="C168" s="46" t="str">
        <f>VLOOKUP($A168,Product!$A$13:$E$61,3,0)&amp;""</f>
        <v>No</v>
      </c>
      <c r="D168" s="35" t="str">
        <f>IF(LEFT(VLOOKUP($A168,Product!$A$13:$E$61,5,0),21)='Auto Responses'!$A$32,'Auto Responses'!$A$33,VLOOKUP($A168,Product!$A$13:$E$61,4,0))&amp;""</f>
        <v>NSSE Shorts as a project does not. See Qualtrics HECVAT 2025 for more details: https://bcsse.iu.edu/doc/bcsse/Qualtrics%20HECVAT%202025.xlsx</v>
      </c>
      <c r="E168" s="331" t="str">
        <f>VLOOKUP($A168,Product!$A$13:$E$61,5,0)&amp;""</f>
        <v>State how the institution's data is protected from system failures and ransomware.</v>
      </c>
      <c r="F168" s="196"/>
      <c r="G168" s="31" t="str">
        <f>VLOOKUP($A168,Questions!$A$2:$X$333,21,0)&amp;""</f>
        <v>Yes</v>
      </c>
      <c r="H168" s="186"/>
      <c r="I168" s="46" t="str">
        <f>VLOOKUP($A168,Questions!$A$2:$X$333,23,0)&amp;""</f>
        <v>Minor Importance</v>
      </c>
      <c r="J168" s="186"/>
      <c r="K168" s="49" t="b">
        <v>0</v>
      </c>
      <c r="L168" s="1"/>
    </row>
    <row r="169" spans="1:12" s="30" customFormat="1" ht="120" x14ac:dyDescent="0.2">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6" t="str">
        <f>VLOOKUP($A169,Product!$A$13:$E$61,3,0)&amp;""</f>
        <v>No</v>
      </c>
      <c r="D169" s="35" t="str">
        <f>IF(LEFT(VLOOKUP($A169,Product!$A$13:$E$61,5,0),21)='Auto Responses'!$A$32,'Auto Responses'!$A$33,VLOOKUP($A169,Product!$A$13:$E$61,4,0))&amp;""</f>
        <v>NSSE Shorts as a project does not. See Qualtrics HECVAT 2025 for more details: https://bcsse.iu.edu/doc/bcsse/Qualtrics%20HECVAT%202025.xlsx</v>
      </c>
      <c r="E169" s="331" t="str">
        <f>VLOOKUP($A169,Product!$A$13:$E$61,5,0)&amp;""</f>
        <v>Summarize your cryptographic key management process.</v>
      </c>
      <c r="F169" s="196"/>
      <c r="G169" s="31" t="str">
        <f>VLOOKUP($A169,Questions!$A$2:$X$333,21,0)&amp;""</f>
        <v>Yes</v>
      </c>
      <c r="H169" s="186"/>
      <c r="I169" s="46" t="str">
        <f>VLOOKUP($A169,Questions!$A$2:$X$333,23,0)&amp;""</f>
        <v>Minor Importance</v>
      </c>
      <c r="J169" s="186"/>
      <c r="K169" s="49" t="b">
        <v>0</v>
      </c>
      <c r="L169" s="1"/>
    </row>
    <row r="170" spans="1:12" s="1" customFormat="1" ht="18" x14ac:dyDescent="0.2">
      <c r="A170" s="64" t="str">
        <f>VLOOKUP(LEFT($A171,4),'Auto Responses'!$N$4:$O$38,2,0)&amp;""</f>
        <v xml:space="preserve"> Application/Service Security</v>
      </c>
      <c r="B170" s="23"/>
      <c r="C170" s="32"/>
      <c r="D170" s="32"/>
      <c r="E170" s="332"/>
      <c r="F170" s="133" t="s">
        <v>1066</v>
      </c>
      <c r="G170" s="336" t="s">
        <v>904</v>
      </c>
      <c r="H170" s="336" t="s">
        <v>906</v>
      </c>
      <c r="I170" s="336" t="s">
        <v>19</v>
      </c>
      <c r="J170" s="336" t="s">
        <v>891</v>
      </c>
      <c r="K170" s="32"/>
    </row>
    <row r="171" spans="1:12" s="30" customFormat="1" ht="75" x14ac:dyDescent="0.2">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6" t="str">
        <f>VLOOKUP($A171,Infrastructure!$A$13:$E$74,3,0)&amp;""</f>
        <v>Yes</v>
      </c>
      <c r="D171" s="35" t="str">
        <f>IF(LEFT(VLOOKUP($A171,Infrastructure!$A$13:$E$74,5,0),21)='Auto Responses'!$A$32,'Auto Responses'!$A$33,VLOOKUP($A171,Infrastructure!$A$13:$E$74,4,0))&amp;""</f>
        <v>NSSE Shorts control user access management, including permissions assigned.</v>
      </c>
      <c r="E171" s="331" t="str">
        <f>VLOOKUP($A171,Infrastructure!$A$13:$E$74,5,0)&amp;""</f>
        <v>Describe available roles.</v>
      </c>
      <c r="F171" s="196"/>
      <c r="G171" s="31" t="str">
        <f>VLOOKUP($A171,Questions!$A$2:$X$333,21,0)&amp;""</f>
        <v>Yes</v>
      </c>
      <c r="H171" s="186"/>
      <c r="I171" s="46" t="str">
        <f>VLOOKUP($A171,Questions!$A$2:$X$333,23,0)&amp;""</f>
        <v>Critical Importance</v>
      </c>
      <c r="J171" s="186"/>
      <c r="K171" s="49" t="b">
        <v>0</v>
      </c>
      <c r="L171" s="1"/>
    </row>
    <row r="172" spans="1:12" s="30" customFormat="1" ht="285" x14ac:dyDescent="0.2">
      <c r="A172" s="19" t="str">
        <f>Infrastructure!$A$21</f>
        <v>APPL-02</v>
      </c>
      <c r="B172" s="20" t="str">
        <f>VLOOKUP($A172,Infrastructure!$A$13:$E$74,2,0)&amp;""</f>
        <v>Are you using a web application firewall (WAF)?*</v>
      </c>
      <c r="C172" s="46" t="str">
        <f>VLOOKUP($A172,Infrastructure!$A$13:$E$74,3,0)&amp;""</f>
        <v>Yes</v>
      </c>
      <c r="D172" s="35" t="str">
        <f>IF(LEFT(VLOOKUP($A172,Infrastructure!$A$13:$E$74,5,0),21)='Auto Responses'!$A$32,'Auto Responses'!$A$33,VLOOKUP($A172,Infrastructure!$A$13:$E$74,4,0))&amp;""</f>
        <v>Qualtrics takes a multi-tier approach to protect systems that host the Services and Data. Qualtrics employs a web application firewall for protection against DDoS and web application attacks. Any detected attack—including application-layer DDoS, SQL injection and XSS—will be thwarted, and traffic will be dropped or rerouted, so downtime is minimal</v>
      </c>
      <c r="E172" s="331" t="str">
        <f>VLOOKUP($A172,Infrastructure!$A$13:$E$74,5,0)&amp;""</f>
        <v>Describe the currently implemented WAF.</v>
      </c>
      <c r="F172" s="196"/>
      <c r="G172" s="31" t="str">
        <f>VLOOKUP($A172,Questions!$A$2:$X$333,21,0)&amp;""</f>
        <v>Yes</v>
      </c>
      <c r="H172" s="186"/>
      <c r="I172" s="46" t="str">
        <f>VLOOKUP($A172,Questions!$A$2:$X$333,23,0)&amp;""</f>
        <v>Critical Importance</v>
      </c>
      <c r="J172" s="186"/>
      <c r="K172" s="49" t="b">
        <v>0</v>
      </c>
      <c r="L172" s="1"/>
    </row>
    <row r="173" spans="1:12" s="30" customFormat="1" ht="45" x14ac:dyDescent="0.2">
      <c r="A173" s="19" t="str">
        <f>Infrastructure!$A$22</f>
        <v>APPL-03</v>
      </c>
      <c r="B173" s="20" t="str">
        <f>VLOOKUP($A173,Infrastructure!$A$13:$E$74,2,0)&amp;""</f>
        <v>Are only currently supported operating system(s), software, and libraries leveraged by the system(s)/application(s) that will have access to institution's data?*</v>
      </c>
      <c r="C173" s="46" t="str">
        <f>VLOOKUP($A173,Infrastructure!$A$13:$E$74,3,0)&amp;""</f>
        <v>Yes</v>
      </c>
      <c r="D173" s="35" t="str">
        <f>IF(LEFT(VLOOKUP($A173,Infrastructure!$A$13:$E$74,5,0),21)='Auto Responses'!$A$32,'Auto Responses'!$A$33,VLOOKUP($A173,Infrastructure!$A$13:$E$74,4,0))&amp;""</f>
        <v/>
      </c>
      <c r="E173" s="331" t="str">
        <f>VLOOKUP($A173,Infrastructure!$A$13:$E$74,5,0)&amp;""</f>
        <v>Please provide a list of all required dependencies.</v>
      </c>
      <c r="F173" s="196"/>
      <c r="G173" s="31" t="str">
        <f>VLOOKUP($A173,Questions!$A$2:$X$333,21,0)&amp;""</f>
        <v>Yes</v>
      </c>
      <c r="H173" s="186"/>
      <c r="I173" s="46" t="str">
        <f>VLOOKUP($A173,Questions!$A$2:$X$333,23,0)&amp;""</f>
        <v>Critical Importance</v>
      </c>
      <c r="J173" s="186"/>
      <c r="K173" s="49" t="b">
        <v>0</v>
      </c>
      <c r="L173" s="1"/>
    </row>
    <row r="174" spans="1:12" s="30" customFormat="1" ht="90" x14ac:dyDescent="0.2">
      <c r="A174" s="19" t="str">
        <f>Infrastructure!$A$23</f>
        <v>APPL-04</v>
      </c>
      <c r="B174" s="20" t="str">
        <f>VLOOKUP($A174,Infrastructure!$A$13:$E$74,2,0)&amp;""</f>
        <v>Does your application require access to location or GPS data?*</v>
      </c>
      <c r="C174" s="46" t="str">
        <f>VLOOKUP($A174,Infrastructure!$A$13:$E$74,3,0)&amp;""</f>
        <v>Yes</v>
      </c>
      <c r="D174" s="35" t="str">
        <f>IF(LEFT(VLOOKUP($A174,Infrastructure!$A$13:$E$74,5,0),21)='Auto Responses'!$A$32,'Auto Responses'!$A$33,VLOOKUP($A174,Infrastructure!$A$13:$E$74,4,0))&amp;""</f>
        <v>See Qualtrics HECVAT 2025 for more details: https://bcsse.iu.edu/doc/bcsse/Qualtrics%20HECVAT%202025.xlsx</v>
      </c>
      <c r="E174" s="331" t="str">
        <f>VLOOKUP($A174,Infrastructure!$A$13:$E$74,5,0)&amp;""</f>
        <v>Please describe the reasons why in detail and state if that access can be limited to while your app is running.</v>
      </c>
      <c r="F174" s="196"/>
      <c r="G174" s="31" t="str">
        <f>VLOOKUP($A174,Questions!$A$2:$X$333,21,0)&amp;""</f>
        <v>No</v>
      </c>
      <c r="H174" s="186"/>
      <c r="I174" s="46" t="str">
        <f>VLOOKUP($A174,Questions!$A$2:$X$333,23,0)&amp;""</f>
        <v>Critical Importance</v>
      </c>
      <c r="J174" s="186"/>
      <c r="K174" s="49" t="b">
        <v>0</v>
      </c>
      <c r="L174" s="1"/>
    </row>
    <row r="175" spans="1:12" s="30" customFormat="1" ht="135" x14ac:dyDescent="0.2">
      <c r="A175" s="19" t="str">
        <f>Infrastructure!$A$24</f>
        <v>APPL-05</v>
      </c>
      <c r="B175" s="20" t="str">
        <f>VLOOKUP($A175,Infrastructure!$A$13:$E$74,2,0)&amp;""</f>
        <v>Does your application provide separation of duties between security administration, system administration, and standard user functions?*</v>
      </c>
      <c r="C175" s="46" t="str">
        <f>VLOOKUP($A175,Infrastructure!$A$13:$E$74,3,0)&amp;""</f>
        <v>Yes</v>
      </c>
      <c r="D175" s="35" t="str">
        <f>IF(LEFT(VLOOKUP($A175,Infrastructure!$A$13:$E$74,5,0),21)='Auto Responses'!$A$32,'Auto Responses'!$A$33,VLOOKUP($A175,Infrastructure!$A$13:$E$74,4,0))&amp;""</f>
        <v>Security and systems administration are separated by role. Users are assigned privileges based on their role and under the principle of least privileged access.</v>
      </c>
      <c r="E175" s="331" t="str">
        <f>VLOOKUP($A175,Infrastructure!$A$13:$E$74,5,0)&amp;""</f>
        <v>Describe or provide a reference to the facilities available in the system to provide separation of duties between security administration and system administration functions.</v>
      </c>
      <c r="F175" s="196"/>
      <c r="G175" s="31" t="str">
        <f>VLOOKUP($A175,Questions!$A$2:$X$333,21,0)&amp;""</f>
        <v>Yes</v>
      </c>
      <c r="H175" s="186"/>
      <c r="I175" s="46" t="str">
        <f>VLOOKUP($A175,Questions!$A$2:$X$333,23,0)&amp;""</f>
        <v>Critical Importance</v>
      </c>
      <c r="J175" s="186"/>
      <c r="K175" s="49" t="b">
        <v>0</v>
      </c>
      <c r="L175" s="1"/>
    </row>
    <row r="176" spans="1:12" s="30" customFormat="1" ht="120" x14ac:dyDescent="0.2">
      <c r="A176" s="19" t="str">
        <f>Infrastructure!$A$25</f>
        <v>APPL-06</v>
      </c>
      <c r="B176" s="20" t="str">
        <f>VLOOKUP($A176,Infrastructure!$A$13:$E$74,2,0)&amp;""</f>
        <v>Do you subject your code to static code analysis and/or static application security testing prior to release?*</v>
      </c>
      <c r="C176" s="46" t="str">
        <f>VLOOKUP($A176,Infrastructure!$A$13:$E$74,3,0)&amp;""</f>
        <v>No</v>
      </c>
      <c r="D176" s="35" t="str">
        <f>IF(LEFT(VLOOKUP($A176,Infrastructure!$A$13:$E$74,5,0),21)='Auto Responses'!$A$32,'Auto Responses'!$A$33,VLOOKUP($A176,Infrastructure!$A$13:$E$74,4,0))&amp;""</f>
        <v>NSSE Shorts as a project does not. See Qualtrics HECVAT 2025 for more details: https://bcsse.iu.edu/doc/bcsse/Qualtrics%20HECVAT%202025.xlsx</v>
      </c>
      <c r="E176" s="331" t="str">
        <f>VLOOKUP($A176,Infrastructure!$A$13:$E$74,5,0)&amp;""</f>
        <v>State your plans to implement static code testing practices into your environment.</v>
      </c>
      <c r="F176" s="196"/>
      <c r="G176" s="31" t="str">
        <f>VLOOKUP($A176,Questions!$A$2:$X$333,21,0)&amp;""</f>
        <v>Yes</v>
      </c>
      <c r="H176" s="186"/>
      <c r="I176" s="46" t="str">
        <f>VLOOKUP($A176,Questions!$A$2:$X$333,23,0)&amp;""</f>
        <v>Critical Importance</v>
      </c>
      <c r="J176" s="186"/>
      <c r="K176" s="49" t="b">
        <v>0</v>
      </c>
      <c r="L176" s="1"/>
    </row>
    <row r="177" spans="1:12" s="30" customFormat="1" ht="120" x14ac:dyDescent="0.2">
      <c r="A177" s="19" t="str">
        <f>Infrastructure!$A$26</f>
        <v>APPL-07</v>
      </c>
      <c r="B177" s="20" t="str">
        <f>VLOOKUP($A177,Infrastructure!$A$13:$E$74,2,0)&amp;""</f>
        <v>Do you have software testing processes (dynamic or static) that are established and followed?*</v>
      </c>
      <c r="C177" s="46" t="str">
        <f>VLOOKUP($A177,Infrastructure!$A$13:$E$74,3,0)&amp;""</f>
        <v>No</v>
      </c>
      <c r="D177" s="35" t="str">
        <f>IF(LEFT(VLOOKUP($A177,Infrastructure!$A$13:$E$74,5,0),21)='Auto Responses'!$A$32,'Auto Responses'!$A$33,VLOOKUP($A177,Infrastructure!$A$13:$E$74,4,0))&amp;""</f>
        <v>NSSE Shorts as a project does not. See Qualtrics HECVAT 2025 for more details: https://bcsse.iu.edu/doc/bcsse/Qualtrics%20HECVAT%202025.xlsx</v>
      </c>
      <c r="E177" s="331" t="str">
        <f>VLOOKUP($A177,Infrastructure!$A$13:$E$74,5,0)&amp;""</f>
        <v>State your plans to implement software testing processes into your environment.</v>
      </c>
      <c r="F177" s="196"/>
      <c r="G177" s="31" t="str">
        <f>VLOOKUP($A177,Questions!$A$2:$X$333,21,0)&amp;""</f>
        <v>Yes</v>
      </c>
      <c r="H177" s="186"/>
      <c r="I177" s="46" t="str">
        <f>VLOOKUP($A177,Questions!$A$2:$X$333,23,0)&amp;""</f>
        <v>Critical Importance</v>
      </c>
      <c r="J177" s="186"/>
      <c r="K177" s="49" t="b">
        <v>0</v>
      </c>
      <c r="L177" s="1"/>
    </row>
    <row r="178" spans="1:12" s="30" customFormat="1" ht="120" x14ac:dyDescent="0.2">
      <c r="A178" s="19" t="str">
        <f>Infrastructure!$A$27</f>
        <v>APPL-08</v>
      </c>
      <c r="B178" s="20" t="str">
        <f>VLOOKUP($A178,Infrastructure!$A$13:$E$74,2,0)&amp;""</f>
        <v>Are access controls for staff within your organization based on structured rules, such as RBAC, ABAC, or PBAC?</v>
      </c>
      <c r="C178" s="46" t="str">
        <f>VLOOKUP($A178,Infrastructure!$A$13:$E$74,3,0)&amp;""</f>
        <v>No</v>
      </c>
      <c r="D178" s="35" t="str">
        <f>IF(LEFT(VLOOKUP($A178,Infrastructure!$A$13:$E$74,5,0),21)='Auto Responses'!$A$32,'Auto Responses'!$A$33,VLOOKUP($A178,Infrastructure!$A$13:$E$74,4,0))&amp;""</f>
        <v>NSSE Shorts as a project does not. See Qualtrics HECVAT 2025 for more details: https://bcsse.iu.edu/doc/bcsse/Qualtrics%20HECVAT%202025.xlsx</v>
      </c>
      <c r="E178" s="331" t="str">
        <f>VLOOKUP($A178,Infrastructure!$A$13:$E$74,5,0)&amp;""</f>
        <v>Describe any limitations that prevent support for RBAC within your organization.</v>
      </c>
      <c r="F178" s="196"/>
      <c r="G178" s="31" t="str">
        <f>VLOOKUP($A178,Questions!$A$2:$X$333,21,0)&amp;""</f>
        <v>Yes</v>
      </c>
      <c r="H178" s="186"/>
      <c r="I178" s="46" t="str">
        <f>VLOOKUP($A178,Questions!$A$2:$X$333,23,0)&amp;""</f>
        <v>Standard Importance</v>
      </c>
      <c r="J178" s="186"/>
      <c r="K178" s="49" t="b">
        <v>0</v>
      </c>
      <c r="L178" s="1"/>
    </row>
    <row r="179" spans="1:12" s="30" customFormat="1" ht="90" x14ac:dyDescent="0.2">
      <c r="A179" s="19" t="str">
        <f>Infrastructure!$A$28</f>
        <v>APPL-09</v>
      </c>
      <c r="B179" s="20" t="str">
        <f>VLOOKUP($A179,Infrastructure!$A$13:$E$74,2,0)&amp;""</f>
        <v>Does the system provide data input validation and error messages?</v>
      </c>
      <c r="C179" s="46" t="str">
        <f>VLOOKUP($A179,Infrastructure!$A$13:$E$74,3,0)&amp;""</f>
        <v>Yes</v>
      </c>
      <c r="D179" s="35" t="str">
        <f>IF(LEFT(VLOOKUP($A179,Infrastructure!$A$13:$E$74,5,0),21)='Auto Responses'!$A$32,'Auto Responses'!$A$33,VLOOKUP($A179,Infrastructure!$A$13:$E$74,4,0))&amp;""</f>
        <v>Qualtrics provides tools for customers to use to validate their input data. Validation is the responsibility of the customer</v>
      </c>
      <c r="E179" s="331" t="str">
        <f>VLOOKUP($A179,Infrastructure!$A$13:$E$74,5,0)&amp;""</f>
        <v>Describe how your system(s) provide data input validation and error messages.</v>
      </c>
      <c r="F179" s="196"/>
      <c r="G179" s="31" t="str">
        <f>VLOOKUP($A179,Questions!$A$2:$X$333,21,0)&amp;""</f>
        <v>Yes</v>
      </c>
      <c r="H179" s="186"/>
      <c r="I179" s="46" t="str">
        <f>VLOOKUP($A179,Questions!$A$2:$X$333,23,0)&amp;""</f>
        <v>Standard Importance</v>
      </c>
      <c r="J179" s="186"/>
      <c r="K179" s="49" t="b">
        <v>0</v>
      </c>
      <c r="L179" s="1"/>
    </row>
    <row r="180" spans="1:12" s="30" customFormat="1" ht="120" x14ac:dyDescent="0.2">
      <c r="A180" s="19" t="str">
        <f>Infrastructure!$A$29</f>
        <v>APPL-10</v>
      </c>
      <c r="B180" s="20" t="str">
        <f>VLOOKUP($A180,Infrastructure!$A$13:$E$74,2,0)&amp;""</f>
        <v>Do you have a process and implemented procedures for managing your software supply chain (e.g., libraries, repositories, frameworks, etc.)</v>
      </c>
      <c r="C180" s="46" t="str">
        <f>VLOOKUP($A180,Infrastructure!$A$13:$E$74,3,0)&amp;""</f>
        <v>No</v>
      </c>
      <c r="D180" s="35" t="str">
        <f>IF(LEFT(VLOOKUP($A180,Infrastructure!$A$13:$E$74,5,0),21)='Auto Responses'!$A$32,'Auto Responses'!$A$33,VLOOKUP($A180,Infrastructure!$A$13:$E$74,4,0))&amp;""</f>
        <v>NSSE Shorts as a project does not. See Qualtrics HECVAT 2025 for more details: https://bcsse.iu.edu/doc/bcsse/Qualtrics%20HECVAT%202025.xlsx</v>
      </c>
      <c r="E180" s="331" t="str">
        <f>VLOOKUP($A180,Infrastructure!$A$13:$E$74,5,0)&amp;""</f>
        <v>Briefly summarize your response.</v>
      </c>
      <c r="F180" s="196"/>
      <c r="G180" s="31" t="str">
        <f>VLOOKUP($A180,Questions!$A$2:$X$333,21,0)&amp;""</f>
        <v>Yes</v>
      </c>
      <c r="H180" s="186"/>
      <c r="I180" s="46" t="str">
        <f>VLOOKUP($A180,Questions!$A$2:$X$333,23,0)&amp;""</f>
        <v>Standard Importance</v>
      </c>
      <c r="J180" s="186"/>
      <c r="K180" s="49" t="b">
        <v>0</v>
      </c>
      <c r="L180" s="1"/>
    </row>
    <row r="181" spans="1:12" s="30" customFormat="1" ht="120" x14ac:dyDescent="0.2">
      <c r="A181" s="19" t="str">
        <f>Infrastructure!$A$30</f>
        <v>APPL-11</v>
      </c>
      <c r="B181" s="20" t="str">
        <f>VLOOKUP($A181,Infrastructure!$A$13:$E$74,2,0)&amp;""</f>
        <v>Have your developers been trained in secure coding techniques?</v>
      </c>
      <c r="C181" s="46" t="str">
        <f>VLOOKUP($A181,Infrastructure!$A$13:$E$74,3,0)&amp;""</f>
        <v>No</v>
      </c>
      <c r="D181" s="35" t="str">
        <f>IF(LEFT(VLOOKUP($A181,Infrastructure!$A$13:$E$74,5,0),21)='Auto Responses'!$A$32,'Auto Responses'!$A$33,VLOOKUP($A181,Infrastructure!$A$13:$E$74,4,0))&amp;""</f>
        <v>NSSE Shorts as a project does not. See Qualtrics HECVAT 2025 for more details: https://bcsse.iu.edu/doc/bcsse/Qualtrics%20HECVAT%202025.xlsx</v>
      </c>
      <c r="E181" s="331" t="str">
        <f>VLOOKUP($A181,Infrastructure!$A$13:$E$74,5,0)&amp;""</f>
        <v>State plans to implement a training program on industry standard secure coding practices.</v>
      </c>
      <c r="F181" s="196"/>
      <c r="G181" s="31" t="str">
        <f>VLOOKUP($A181,Questions!$A$2:$X$333,21,0)&amp;""</f>
        <v>Yes</v>
      </c>
      <c r="H181" s="186"/>
      <c r="I181" s="46" t="str">
        <f>VLOOKUP($A181,Questions!$A$2:$X$333,23,0)&amp;""</f>
        <v>Standard Importance</v>
      </c>
      <c r="J181" s="186"/>
      <c r="K181" s="49" t="b">
        <v>0</v>
      </c>
      <c r="L181" s="1"/>
    </row>
    <row r="182" spans="1:12" s="30" customFormat="1" ht="120" x14ac:dyDescent="0.2">
      <c r="A182" s="19" t="str">
        <f>Infrastructure!$A$31</f>
        <v>APPL-12</v>
      </c>
      <c r="B182" s="20" t="str">
        <f>VLOOKUP($A182,Infrastructure!$A$13:$E$74,2,0)&amp;""</f>
        <v>Was your application developed using secure coding techniques?</v>
      </c>
      <c r="C182" s="46" t="str">
        <f>VLOOKUP($A182,Infrastructure!$A$13:$E$74,3,0)&amp;""</f>
        <v>No</v>
      </c>
      <c r="D182" s="35" t="str">
        <f>IF(LEFT(VLOOKUP($A182,Infrastructure!$A$13:$E$74,5,0),21)='Auto Responses'!$A$32,'Auto Responses'!$A$33,VLOOKUP($A182,Infrastructure!$A$13:$E$74,4,0))&amp;""</f>
        <v>NSSE Shorts as a project does not. See Qualtrics HECVAT 2025 for more details: https://bcsse.iu.edu/doc/bcsse/Qualtrics%20HECVAT%202025.xlsx</v>
      </c>
      <c r="E182" s="331" t="str">
        <f>VLOOKUP($A182,Infrastructure!$A$13:$E$74,5,0)&amp;""</f>
        <v>State plans to update your application to adhere to industry secure coding practices.</v>
      </c>
      <c r="F182" s="196"/>
      <c r="G182" s="31" t="str">
        <f>VLOOKUP($A182,Questions!$A$2:$X$333,21,0)&amp;""</f>
        <v>Yes</v>
      </c>
      <c r="H182" s="186"/>
      <c r="I182" s="46" t="str">
        <f>VLOOKUP($A182,Questions!$A$2:$X$333,23,0)&amp;""</f>
        <v>Standard Importance</v>
      </c>
      <c r="J182" s="186"/>
      <c r="K182" s="49" t="b">
        <v>0</v>
      </c>
      <c r="L182" s="1"/>
    </row>
    <row r="183" spans="1:12" s="30" customFormat="1" ht="120" x14ac:dyDescent="0.2">
      <c r="A183" s="19" t="str">
        <f>Infrastructure!$A$32</f>
        <v>APPL-13</v>
      </c>
      <c r="B183" s="20" t="str">
        <f>VLOOKUP($A183,Infrastructure!$A$13:$E$74,2,0)&amp;""</f>
        <v>If mobile, is the application available from a trusted source (e.g., App Store, Google Play Store)?</v>
      </c>
      <c r="C183" s="46" t="str">
        <f>VLOOKUP($A183,Infrastructure!$A$13:$E$74,3,0)&amp;""</f>
        <v>No</v>
      </c>
      <c r="D183" s="35" t="str">
        <f>IF(LEFT(VLOOKUP($A183,Infrastructure!$A$13:$E$74,5,0),21)='Auto Responses'!$A$32,'Auto Responses'!$A$33,VLOOKUP($A183,Infrastructure!$A$13:$E$74,4,0))&amp;""</f>
        <v>NSSE Shorts as a project does not. See Qualtrics HECVAT 2025 for more details: https://bcsse.iu.edu/doc/bcsse/Qualtrics%20HECVAT%202025.xlsx</v>
      </c>
      <c r="E183" s="331" t="str">
        <f>VLOOKUP($A183,Infrastructure!$A$13:$E$74,5,0)&amp;""</f>
        <v>Decribe how the application is distributed. Also, state any plans to publish the app to a trusted source.</v>
      </c>
      <c r="F183" s="196"/>
      <c r="G183" s="31" t="str">
        <f>VLOOKUP($A183,Questions!$A$2:$X$333,21,0)&amp;""</f>
        <v>Yes</v>
      </c>
      <c r="H183" s="186"/>
      <c r="I183" s="46" t="str">
        <f>VLOOKUP($A183,Questions!$A$2:$X$333,23,0)&amp;""</f>
        <v>Minor Importance</v>
      </c>
      <c r="J183" s="186"/>
      <c r="K183" s="49" t="b">
        <v>0</v>
      </c>
      <c r="L183" s="1"/>
    </row>
    <row r="184" spans="1:12" s="30" customFormat="1" ht="120" x14ac:dyDescent="0.2">
      <c r="A184" s="19" t="str">
        <f>Infrastructure!$A$33</f>
        <v>APPL-14</v>
      </c>
      <c r="B184" s="20" t="str">
        <f>VLOOKUP($A184,Infrastructure!$A$13:$E$74,2,0)&amp;""</f>
        <v>Do you have a fully implemented policy or procedure that details how your employees obtain administrator access to institutional instance of the application?</v>
      </c>
      <c r="C184" s="46" t="str">
        <f>VLOOKUP($A184,Infrastructure!$A$13:$E$74,3,0)&amp;""</f>
        <v>No</v>
      </c>
      <c r="D184" s="35" t="str">
        <f>IF(LEFT(VLOOKUP($A184,Infrastructure!$A$13:$E$74,5,0),21)='Auto Responses'!$A$32,'Auto Responses'!$A$33,VLOOKUP($A184,Infrastructure!$A$13:$E$74,4,0))&amp;""</f>
        <v>NSSE Shorts as a project does not. See Qualtrics HECVAT 2025 for more details: https://bcsse.iu.edu/doc/bcsse/Qualtrics%20HECVAT%202025.xlsx</v>
      </c>
      <c r="E184" s="331" t="str">
        <f>VLOOKUP($A184,Infrastructure!$A$13:$E$74,5,0)&amp;""</f>
        <v>State plans to fully implement policy or procedure that details how administrator access is handled in your environment.</v>
      </c>
      <c r="F184" s="196"/>
      <c r="G184" s="31" t="str">
        <f>VLOOKUP($A184,Questions!$A$2:$X$333,21,0)&amp;""</f>
        <v>Yes</v>
      </c>
      <c r="H184" s="186"/>
      <c r="I184" s="46" t="str">
        <f>VLOOKUP($A184,Questions!$A$2:$X$333,23,0)&amp;""</f>
        <v>Minor Importance</v>
      </c>
      <c r="J184" s="186"/>
      <c r="K184" s="49" t="b">
        <v>0</v>
      </c>
      <c r="L184" s="1"/>
    </row>
    <row r="185" spans="1:12" s="1" customFormat="1" ht="18" x14ac:dyDescent="0.2">
      <c r="A185" s="64" t="str">
        <f>VLOOKUP(LEFT($A186,4),'Auto Responses'!$N$4:$O$38,2,0)&amp;""</f>
        <v xml:space="preserve"> Datacenter</v>
      </c>
      <c r="B185" s="23"/>
      <c r="C185" s="32"/>
      <c r="D185" s="32"/>
      <c r="E185" s="332"/>
      <c r="F185" s="133" t="s">
        <v>1066</v>
      </c>
      <c r="G185" s="336" t="s">
        <v>904</v>
      </c>
      <c r="H185" s="336" t="s">
        <v>906</v>
      </c>
      <c r="I185" s="336" t="s">
        <v>19</v>
      </c>
      <c r="J185" s="336" t="s">
        <v>891</v>
      </c>
      <c r="K185" s="32"/>
    </row>
    <row r="186" spans="1:12" s="30" customFormat="1" ht="90" x14ac:dyDescent="0.2">
      <c r="A186" s="19" t="str">
        <f>Infrastructure!$A$35</f>
        <v>DCTR-01</v>
      </c>
      <c r="B186" s="20" t="str">
        <f>VLOOKUP($A186,Infrastructure!$A$13:$E$74,2,0)&amp;""</f>
        <v>Select your hosting option.</v>
      </c>
      <c r="C186" s="46" t="str">
        <f>VLOOKUP($A186,Infrastructure!$A$13:$E$74,3,0)&amp;""</f>
        <v>AWS</v>
      </c>
      <c r="D186" s="35" t="str">
        <f>IF(LEFT(VLOOKUP($A186,Infrastructure!$A$13:$E$74,5,0),21)='Auto Responses'!$A$32,'Auto Responses'!$A$33,VLOOKUP($A186,Infrastructure!$A$13:$E$74,4,0))&amp;""</f>
        <v>See Qualtrics HECVAT 2025 for more details: https://bcsse.iu.edu/doc/bcsse/Qualtrics%20HECVAT%202025.xlsx</v>
      </c>
      <c r="E186" s="331" t="str">
        <f>VLOOKUP($A186,Infrastructure!$A$13:$E$74,5,0)&amp;""</f>
        <v/>
      </c>
      <c r="F186" s="196"/>
      <c r="G186" s="31" t="str">
        <f>VLOOKUP($A186,Questions!$A$2:$X$333,21,0)&amp;""</f>
        <v>Not scored</v>
      </c>
      <c r="H186" s="186"/>
      <c r="I186" s="46" t="str">
        <f>VLOOKUP($A186,Questions!$A$2:$X$333,23,0)&amp;""</f>
        <v/>
      </c>
      <c r="J186" s="186"/>
      <c r="K186" s="49" t="b">
        <v>0</v>
      </c>
      <c r="L186" s="1"/>
    </row>
    <row r="187" spans="1:12" s="30" customFormat="1" ht="75" x14ac:dyDescent="0.2">
      <c r="A187" s="19" t="str">
        <f>Infrastructure!$A$36</f>
        <v>DCTR-02</v>
      </c>
      <c r="B187" s="20" t="str">
        <f>VLOOKUP($A187,Infrastructure!$A$13:$E$74,2,0)&amp;""</f>
        <v>Is a SOC 2 Type 2 report available for the hosting environment?</v>
      </c>
      <c r="C187" s="46" t="str">
        <f>VLOOKUP($A187,Infrastructure!$A$13:$E$74,3,0)&amp;""</f>
        <v>Yes</v>
      </c>
      <c r="D187" s="35" t="str">
        <f>IF(LEFT(VLOOKUP($A187,Infrastructure!$A$13:$E$74,5,0),21)='Auto Responses'!$A$32,'Auto Responses'!$A$33,VLOOKUP($A187,Infrastructure!$A$13:$E$74,4,0))&amp;""</f>
        <v>This question does not apply.</v>
      </c>
      <c r="E187" s="331" t="str">
        <f>VLOOKUP($A187,Infrastructure!$A$13:$E$74,5,0)&amp;""</f>
        <v>Based on the response to DCTR-01, this question does not apply to this product or service.</v>
      </c>
      <c r="F187" s="196"/>
      <c r="G187" s="31" t="str">
        <f>VLOOKUP($A187,Questions!$A$2:$X$333,21,0)&amp;""</f>
        <v>Yes</v>
      </c>
      <c r="H187" s="186"/>
      <c r="I187" s="46" t="str">
        <f>VLOOKUP($A187,Questions!$A$2:$X$333,23,0)&amp;""</f>
        <v>Standard Importance</v>
      </c>
      <c r="J187" s="186"/>
      <c r="K187" s="49" t="b">
        <v>0</v>
      </c>
      <c r="L187" s="1"/>
    </row>
    <row r="188" spans="1:12" s="30" customFormat="1" ht="75" x14ac:dyDescent="0.2">
      <c r="A188" s="19" t="str">
        <f>Infrastructure!$A$37</f>
        <v>DCTR-03</v>
      </c>
      <c r="B188" s="20" t="str">
        <f>VLOOKUP($A188,Infrastructure!$A$13:$E$74,2,0)&amp;""</f>
        <v>Are you generally able to accommodate storing each institution's data within its geographic region?</v>
      </c>
      <c r="C188" s="46" t="str">
        <f>VLOOKUP($A188,Infrastructure!$A$13:$E$74,3,0)&amp;""</f>
        <v>No</v>
      </c>
      <c r="D188" s="35" t="str">
        <f>IF(LEFT(VLOOKUP($A188,Infrastructure!$A$13:$E$74,5,0),21)='Auto Responses'!$A$32,'Auto Responses'!$A$33,VLOOKUP($A188,Infrastructure!$A$13:$E$74,4,0))&amp;""</f>
        <v/>
      </c>
      <c r="E188" s="331" t="str">
        <f>VLOOKUP($A188,Infrastructure!$A$13:$E$74,5,0)&amp;""</f>
        <v>Under what circumstances would institutional data leave a designated region or regions?</v>
      </c>
      <c r="F188" s="196"/>
      <c r="G188" s="31" t="str">
        <f>VLOOKUP($A188,Questions!$A$2:$X$333,21,0)&amp;""</f>
        <v>Yes</v>
      </c>
      <c r="H188" s="186"/>
      <c r="I188" s="46" t="str">
        <f>VLOOKUP($A188,Questions!$A$2:$X$333,23,0)&amp;""</f>
        <v>Standard Importance</v>
      </c>
      <c r="J188" s="186"/>
      <c r="K188" s="49" t="b">
        <v>0</v>
      </c>
      <c r="L188" s="1"/>
    </row>
    <row r="189" spans="1:12" s="30" customFormat="1" ht="75" x14ac:dyDescent="0.2">
      <c r="A189" s="19" t="str">
        <f>Infrastructure!$A$38</f>
        <v>DCTR-04</v>
      </c>
      <c r="B189" s="20" t="str">
        <f>VLOOKUP($A189,Infrastructure!$A$13:$E$74,2,0)&amp;""</f>
        <v>Are the data centers staffed 24 hours a day, seven days a week (i.e., 24 x 7 x 365)?</v>
      </c>
      <c r="C189" s="46" t="str">
        <f>VLOOKUP($A189,Infrastructure!$A$13:$E$74,3,0)&amp;""</f>
        <v>Yes</v>
      </c>
      <c r="D189" s="35" t="str">
        <f>IF(LEFT(VLOOKUP($A189,Infrastructure!$A$13:$E$74,5,0),21)='Auto Responses'!$A$32,'Auto Responses'!$A$33,VLOOKUP($A189,Infrastructure!$A$13:$E$74,4,0))&amp;""</f>
        <v>This question does not apply.</v>
      </c>
      <c r="E189" s="331" t="str">
        <f>VLOOKUP($A189,Infrastructure!$A$13:$E$74,5,0)&amp;""</f>
        <v>Based on the response to DCTR-01, this question does not apply to this product or service.</v>
      </c>
      <c r="F189" s="196"/>
      <c r="G189" s="31" t="str">
        <f>VLOOKUP($A189,Questions!$A$2:$X$333,21,0)&amp;""</f>
        <v>Yes</v>
      </c>
      <c r="H189" s="186"/>
      <c r="I189" s="46" t="str">
        <f>VLOOKUP($A189,Questions!$A$2:$X$333,23,0)&amp;""</f>
        <v>Standard Importance</v>
      </c>
      <c r="J189" s="186"/>
      <c r="K189" s="49" t="b">
        <v>0</v>
      </c>
      <c r="L189" s="1"/>
    </row>
    <row r="190" spans="1:12" s="30" customFormat="1" ht="75" x14ac:dyDescent="0.2">
      <c r="A190" s="19" t="str">
        <f>Infrastructure!$A$39</f>
        <v>DCTR-05</v>
      </c>
      <c r="B190" s="20" t="str">
        <f>VLOOKUP($A190,Infrastructure!$A$13:$E$74,2,0)&amp;""</f>
        <v>Are your servers separated from other companies via a physical barrier, such as a cage or hard walls?</v>
      </c>
      <c r="C190" s="46" t="str">
        <f>VLOOKUP($A190,Infrastructure!$A$13:$E$74,3,0)&amp;""</f>
        <v>Yes</v>
      </c>
      <c r="D190" s="35" t="str">
        <f>IF(LEFT(VLOOKUP($A190,Infrastructure!$A$13:$E$74,5,0),21)='Auto Responses'!$A$32,'Auto Responses'!$A$33,VLOOKUP($A190,Infrastructure!$A$13:$E$74,4,0))&amp;""</f>
        <v>This question does not apply.</v>
      </c>
      <c r="E190" s="331" t="str">
        <f>VLOOKUP($A190,Infrastructure!$A$13:$E$74,5,0)&amp;""</f>
        <v>Based on the response to DCTR-01, this question does not apply to this product or service.</v>
      </c>
      <c r="F190" s="196"/>
      <c r="G190" s="31" t="str">
        <f>VLOOKUP($A190,Questions!$A$2:$X$333,21,0)&amp;""</f>
        <v>Yes</v>
      </c>
      <c r="H190" s="186"/>
      <c r="I190" s="46" t="str">
        <f>VLOOKUP($A190,Questions!$A$2:$X$333,23,0)&amp;""</f>
        <v>Standard Importance</v>
      </c>
      <c r="J190" s="186"/>
      <c r="K190" s="49" t="b">
        <v>0</v>
      </c>
      <c r="L190" s="1"/>
    </row>
    <row r="191" spans="1:12" s="30" customFormat="1" ht="75" x14ac:dyDescent="0.2">
      <c r="A191" s="19" t="str">
        <f>Infrastructure!$A$40</f>
        <v>DCTR-06</v>
      </c>
      <c r="B191" s="20" t="str">
        <f>VLOOKUP($A191,Infrastructure!$A$13:$E$74,2,0)&amp;""</f>
        <v>Does a physical barrier fully enclose the physical space, preventing unauthorized physical contact with any of your devices?*</v>
      </c>
      <c r="C191" s="46" t="str">
        <f>VLOOKUP($A191,Infrastructure!$A$13:$E$74,3,0)&amp;""</f>
        <v>Yes</v>
      </c>
      <c r="D191" s="35" t="str">
        <f>IF(LEFT(VLOOKUP($A191,Infrastructure!$A$13:$E$74,5,0),21)='Auto Responses'!$A$32,'Auto Responses'!$A$33,VLOOKUP($A191,Infrastructure!$A$13:$E$74,4,0))&amp;""</f>
        <v>This question does not apply.</v>
      </c>
      <c r="E191" s="331" t="str">
        <f>VLOOKUP($A191,Infrastructure!$A$13:$E$74,5,0)&amp;""</f>
        <v>Based on the response to DCTR-01, this question does not apply to this product or service.</v>
      </c>
      <c r="F191" s="196"/>
      <c r="G191" s="31" t="str">
        <f>VLOOKUP($A191,Questions!$A$2:$X$333,21,0)&amp;""</f>
        <v>Yes</v>
      </c>
      <c r="H191" s="186"/>
      <c r="I191" s="46" t="str">
        <f>VLOOKUP($A191,Questions!$A$2:$X$333,23,0)&amp;""</f>
        <v>Critical Importance</v>
      </c>
      <c r="J191" s="186"/>
      <c r="K191" s="49" t="b">
        <v>0</v>
      </c>
      <c r="L191" s="1"/>
    </row>
    <row r="192" spans="1:12" s="30" customFormat="1" ht="165" x14ac:dyDescent="0.2">
      <c r="A192" s="19" t="str">
        <f>Infrastructure!$A$41</f>
        <v>DCTR-07</v>
      </c>
      <c r="B192" s="20" t="str">
        <f>VLOOKUP($A192,Infrastructure!$A$13:$E$74,2,0)&amp;""</f>
        <v>Are your primary and secondary data centers geographically diverse?</v>
      </c>
      <c r="C192" s="46" t="str">
        <f>VLOOKUP($A192,Infrastructure!$A$13:$E$74,3,0)&amp;""</f>
        <v>Yes</v>
      </c>
      <c r="D192" s="35" t="str">
        <f>IF(LEFT(VLOOKUP($A192,Infrastructure!$A$13:$E$74,5,0),21)='Auto Responses'!$A$32,'Auto Responses'!$A$33,VLOOKUP($A192,Infrastructure!$A$13:$E$74,4,0))&amp;""</f>
        <v>IU: see IU Data Management https://datamanagement.iu.edu/index.html
See Qualtrics HECVAT 2025 for more details: https://bcsse.iu.edu/doc/bcsse/Qualtrics%20HECVAT%202025.xlsx</v>
      </c>
      <c r="E192" s="331" t="str">
        <f>VLOOKUP($A192,Infrastructure!$A$13:$E$74,5,0)&amp;""</f>
        <v>State your primary and secondary data center locations. For cloud infrastructures, state the primary and secondary zones.</v>
      </c>
      <c r="F192" s="196"/>
      <c r="G192" s="31" t="str">
        <f>VLOOKUP($A192,Questions!$A$2:$X$333,21,0)&amp;""</f>
        <v>Yes</v>
      </c>
      <c r="H192" s="186"/>
      <c r="I192" s="46" t="str">
        <f>VLOOKUP($A192,Questions!$A$2:$X$333,23,0)&amp;""</f>
        <v>Standard Importance</v>
      </c>
      <c r="J192" s="186"/>
      <c r="K192" s="49" t="b">
        <v>0</v>
      </c>
      <c r="L192" s="1"/>
    </row>
    <row r="193" spans="1:12" s="30" customFormat="1" ht="165" x14ac:dyDescent="0.2">
      <c r="A193" s="19" t="str">
        <f>Infrastructure!$A$42</f>
        <v>DCTR-08</v>
      </c>
      <c r="B193" s="20" t="str">
        <f>VLOOKUP($A193,Infrastructure!$A$13:$E$74,2,0)&amp;""</f>
        <v>Is the service hosted in a high-availability environment?</v>
      </c>
      <c r="C193" s="46" t="str">
        <f>VLOOKUP($A193,Infrastructure!$A$13:$E$74,3,0)&amp;""</f>
        <v>Yes</v>
      </c>
      <c r="D193" s="35" t="str">
        <f>IF(LEFT(VLOOKUP($A193,Infrastructure!$A$13:$E$74,5,0),21)='Auto Responses'!$A$32,'Auto Responses'!$A$33,VLOOKUP($A193,Infrastructure!$A$13:$E$74,4,0))&amp;""</f>
        <v>IU: see IU Data Management https://datamanagement.iu.edu/index.html
See Qualtrics HECVAT 2025 for more details: https://bcsse.iu.edu/doc/bcsse/Qualtrics%20HECVAT%202025.xlsx</v>
      </c>
      <c r="E193" s="331" t="str">
        <f>VLOOKUP($A193,Infrastructure!$A$13:$E$74,5,0)&amp;""</f>
        <v>Provide a summary to support your response selection.</v>
      </c>
      <c r="F193" s="196"/>
      <c r="G193" s="31" t="str">
        <f>VLOOKUP($A193,Questions!$A$2:$X$333,21,0)&amp;""</f>
        <v>Yes</v>
      </c>
      <c r="H193" s="186"/>
      <c r="I193" s="46" t="str">
        <f>VLOOKUP($A193,Questions!$A$2:$X$333,23,0)&amp;""</f>
        <v>Standard Importance</v>
      </c>
      <c r="J193" s="186"/>
      <c r="K193" s="49" t="b">
        <v>0</v>
      </c>
      <c r="L193" s="1"/>
    </row>
    <row r="194" spans="1:12" s="30" customFormat="1" ht="75" x14ac:dyDescent="0.2">
      <c r="A194" s="19" t="str">
        <f>Infrastructure!$A$43</f>
        <v>DCTR-09</v>
      </c>
      <c r="B194" s="20" t="str">
        <f>VLOOKUP($A194,Infrastructure!$A$13:$E$74,2,0)&amp;""</f>
        <v>Is redundant power available for all data centers where institutional data will reside?</v>
      </c>
      <c r="C194" s="46" t="str">
        <f>VLOOKUP($A194,Infrastructure!$A$13:$E$74,3,0)&amp;""</f>
        <v>Yes</v>
      </c>
      <c r="D194" s="35" t="str">
        <f>IF(LEFT(VLOOKUP($A194,Infrastructure!$A$13:$E$74,5,0),21)='Auto Responses'!$A$32,'Auto Responses'!$A$33,VLOOKUP($A194,Infrastructure!$A$13:$E$74,4,0))&amp;""</f>
        <v>This question does not apply.</v>
      </c>
      <c r="E194" s="331" t="str">
        <f>VLOOKUP($A194,Infrastructure!$A$13:$E$74,5,0)&amp;""</f>
        <v>Based on the response to DCTR-01, this question does not apply to this product or service.</v>
      </c>
      <c r="F194" s="196"/>
      <c r="G194" s="31" t="str">
        <f>VLOOKUP($A194,Questions!$A$2:$X$333,21,0)&amp;""</f>
        <v>Yes</v>
      </c>
      <c r="H194" s="186"/>
      <c r="I194" s="46" t="str">
        <f>VLOOKUP($A194,Questions!$A$2:$X$333,23,0)&amp;""</f>
        <v>Standard Importance</v>
      </c>
      <c r="J194" s="186"/>
      <c r="K194" s="49" t="b">
        <v>0</v>
      </c>
      <c r="L194" s="1"/>
    </row>
    <row r="195" spans="1:12" s="30" customFormat="1" ht="75" x14ac:dyDescent="0.2">
      <c r="A195" s="19" t="str">
        <f>Infrastructure!$A$44</f>
        <v>DCTR-10</v>
      </c>
      <c r="B195" s="20" t="str">
        <f>VLOOKUP($A195,Infrastructure!$A$13:$E$74,2,0)&amp;""</f>
        <v>Are redundant power strategies tested?*</v>
      </c>
      <c r="C195" s="46" t="str">
        <f>VLOOKUP($A195,Infrastructure!$A$13:$E$74,3,0)&amp;""</f>
        <v>Yes</v>
      </c>
      <c r="D195" s="35" t="str">
        <f>IF(LEFT(VLOOKUP($A195,Infrastructure!$A$13:$E$74,5,0),21)='Auto Responses'!$A$32,'Auto Responses'!$A$33,VLOOKUP($A195,Infrastructure!$A$13:$E$74,4,0))&amp;""</f>
        <v>This question does not apply.</v>
      </c>
      <c r="E195" s="331" t="str">
        <f>VLOOKUP($A195,Infrastructure!$A$13:$E$74,5,0)&amp;""</f>
        <v>Based on the response to DCTR-01, this question does not apply to this product or service.</v>
      </c>
      <c r="F195" s="196"/>
      <c r="G195" s="31" t="str">
        <f>VLOOKUP($A195,Questions!$A$2:$X$333,21,0)&amp;""</f>
        <v>Yes</v>
      </c>
      <c r="H195" s="186"/>
      <c r="I195" s="46" t="str">
        <f>VLOOKUP($A195,Questions!$A$2:$X$333,23,0)&amp;""</f>
        <v>Critical Importance</v>
      </c>
      <c r="J195" s="186"/>
      <c r="K195" s="49" t="b">
        <v>0</v>
      </c>
      <c r="L195" s="1"/>
    </row>
    <row r="196" spans="1:12" s="30" customFormat="1" ht="75" x14ac:dyDescent="0.2">
      <c r="A196" s="19" t="str">
        <f>Infrastructure!$A$45</f>
        <v>DCTR-11</v>
      </c>
      <c r="B196" s="20" t="str">
        <f>VLOOKUP($A196,Infrastructure!$A$13:$E$74,2,0)&amp;""</f>
        <v>Does the center where the data will reside have cooling and fire-suppression systems that are active and regularly tested?</v>
      </c>
      <c r="C196" s="46" t="str">
        <f>VLOOKUP($A196,Infrastructure!$A$13:$E$74,3,0)&amp;""</f>
        <v>Yes</v>
      </c>
      <c r="D196" s="35" t="str">
        <f>IF(LEFT(VLOOKUP($A196,Infrastructure!$A$13:$E$74,5,0),21)='Auto Responses'!$A$32,'Auto Responses'!$A$33,VLOOKUP($A196,Infrastructure!$A$13:$E$74,4,0))&amp;""</f>
        <v>This question does not apply.</v>
      </c>
      <c r="E196" s="331" t="str">
        <f>VLOOKUP($A196,Infrastructure!$A$13:$E$74,5,0)&amp;""</f>
        <v>Based on the response to DCTR-01, this question does not apply to this product or service.</v>
      </c>
      <c r="F196" s="196"/>
      <c r="G196" s="31" t="str">
        <f>VLOOKUP($A196,Questions!$A$2:$X$333,21,0)&amp;""</f>
        <v>Yes</v>
      </c>
      <c r="H196" s="186"/>
      <c r="I196" s="46" t="str">
        <f>VLOOKUP($A196,Questions!$A$2:$X$333,23,0)&amp;""</f>
        <v>Standard Importance</v>
      </c>
      <c r="J196" s="186"/>
      <c r="K196" s="49" t="b">
        <v>0</v>
      </c>
      <c r="L196" s="1"/>
    </row>
    <row r="197" spans="1:12" s="30" customFormat="1" ht="75" x14ac:dyDescent="0.2">
      <c r="A197" s="19" t="str">
        <f>Infrastructure!$A$46</f>
        <v>DCTR-12</v>
      </c>
      <c r="B197" s="20" t="str">
        <f>VLOOKUP($A197,Infrastructure!$A$13:$E$74,2,0)&amp;""</f>
        <v>Do you have Internet Service Provider (ISP) redundancy?</v>
      </c>
      <c r="C197" s="46" t="str">
        <f>VLOOKUP($A197,Infrastructure!$A$13:$E$74,3,0)&amp;""</f>
        <v>Yes</v>
      </c>
      <c r="D197" s="35" t="str">
        <f>IF(LEFT(VLOOKUP($A197,Infrastructure!$A$13:$E$74,5,0),21)='Auto Responses'!$A$32,'Auto Responses'!$A$33,VLOOKUP($A197,Infrastructure!$A$13:$E$74,4,0))&amp;""</f>
        <v>This question does not apply.</v>
      </c>
      <c r="E197" s="331" t="str">
        <f>VLOOKUP($A197,Infrastructure!$A$13:$E$74,5,0)&amp;""</f>
        <v>Based on the response to DCTR-01, this question does not apply to this product or service.</v>
      </c>
      <c r="F197" s="196"/>
      <c r="G197" s="31" t="str">
        <f>VLOOKUP($A197,Questions!$A$2:$X$333,21,0)&amp;""</f>
        <v>Yes</v>
      </c>
      <c r="H197" s="186"/>
      <c r="I197" s="46" t="str">
        <f>VLOOKUP($A197,Questions!$A$2:$X$333,23,0)&amp;""</f>
        <v>Standard Importance</v>
      </c>
      <c r="J197" s="186"/>
      <c r="K197" s="49" t="b">
        <v>0</v>
      </c>
      <c r="L197" s="1"/>
    </row>
    <row r="198" spans="1:12" s="30" customFormat="1" ht="75" x14ac:dyDescent="0.2">
      <c r="A198" s="19" t="str">
        <f>Infrastructure!$A$47</f>
        <v>DCTR-13</v>
      </c>
      <c r="B198" s="20" t="str">
        <f>VLOOKUP($A198,Infrastructure!$A$13:$E$74,2,0)&amp;""</f>
        <v>Does every data center where the institution's data will reside have multiple telephone company or network provider entrances to the facility?</v>
      </c>
      <c r="C198" s="46" t="str">
        <f>VLOOKUP($A198,Infrastructure!$A$13:$E$74,3,0)&amp;""</f>
        <v>Yes</v>
      </c>
      <c r="D198" s="35" t="str">
        <f>IF(LEFT(VLOOKUP($A198,Infrastructure!$A$13:$E$74,5,0),21)='Auto Responses'!$A$32,'Auto Responses'!$A$33,VLOOKUP($A198,Infrastructure!$A$13:$E$74,4,0))&amp;""</f>
        <v>This question does not apply.</v>
      </c>
      <c r="E198" s="331" t="str">
        <f>VLOOKUP($A198,Infrastructure!$A$13:$E$74,5,0)&amp;""</f>
        <v>Based on the response to DCTR-01, this question does not apply to this product or service.</v>
      </c>
      <c r="F198" s="196"/>
      <c r="G198" s="31" t="str">
        <f>VLOOKUP($A198,Questions!$A$2:$X$333,21,0)&amp;""</f>
        <v>Yes</v>
      </c>
      <c r="H198" s="186"/>
      <c r="I198" s="46" t="str">
        <f>VLOOKUP($A198,Questions!$A$2:$X$333,23,0)&amp;""</f>
        <v>Standard Importance</v>
      </c>
      <c r="J198" s="186"/>
      <c r="K198" s="49" t="b">
        <v>0</v>
      </c>
      <c r="L198" s="1"/>
    </row>
    <row r="199" spans="1:12" s="30" customFormat="1" ht="165" x14ac:dyDescent="0.2">
      <c r="A199" s="19" t="str">
        <f>Infrastructure!$A$48</f>
        <v>DCTR-14</v>
      </c>
      <c r="B199" s="20" t="str">
        <f>VLOOKUP($A199,Infrastructure!$A$13:$E$74,2,0)&amp;""</f>
        <v>Do you require multifactor authentication for all administrative accounts in your environment?</v>
      </c>
      <c r="C199" s="46" t="str">
        <f>VLOOKUP($A199,Infrastructure!$A$13:$E$74,3,0)&amp;""</f>
        <v>Yes</v>
      </c>
      <c r="D199" s="35" t="str">
        <f>IF(LEFT(VLOOKUP($A199,Infrastructure!$A$13:$E$74,5,0),21)='Auto Responses'!$A$32,'Auto Responses'!$A$33,VLOOKUP($A199,Infrastructure!$A$13:$E$74,4,0))&amp;""</f>
        <v>IU: see IU Data Management https://datamanagement.iu.edu/index.html
See Qualtrics HECVAT 2025 for more details: https://bcsse.iu.edu/doc/bcsse/Qualtrics%20HECVAT%202025.xlsx</v>
      </c>
      <c r="E199" s="331" t="str">
        <f>VLOOKUP($A199,Infrastructure!$A$13:$E$74,5,0)&amp;""</f>
        <v>State which model of MFA you are using.</v>
      </c>
      <c r="F199" s="196"/>
      <c r="G199" s="31" t="str">
        <f>VLOOKUP($A199,Questions!$A$2:$X$333,21,0)&amp;""</f>
        <v>Yes</v>
      </c>
      <c r="H199" s="186"/>
      <c r="I199" s="46" t="str">
        <f>VLOOKUP($A199,Questions!$A$2:$X$333,23,0)&amp;""</f>
        <v>Standard Importance</v>
      </c>
      <c r="J199" s="186"/>
      <c r="K199" s="49" t="b">
        <v>0</v>
      </c>
      <c r="L199" s="1"/>
    </row>
    <row r="200" spans="1:12" s="30" customFormat="1" ht="120" x14ac:dyDescent="0.2">
      <c r="A200" s="19" t="str">
        <f>Infrastructure!$A$49</f>
        <v>DCTR-15</v>
      </c>
      <c r="B200" s="20" t="str">
        <f>VLOOKUP($A200,Infrastructure!$A$13:$E$74,2,0)&amp;""</f>
        <v>Are you using your cloud provider's available hardening tools or pre-hardened images?</v>
      </c>
      <c r="C200" s="46" t="str">
        <f>VLOOKUP($A200,Infrastructure!$A$13:$E$74,3,0)&amp;""</f>
        <v>No</v>
      </c>
      <c r="D200" s="35" t="str">
        <f>IF(LEFT(VLOOKUP($A200,Infrastructure!$A$13:$E$74,5,0),21)='Auto Responses'!$A$32,'Auto Responses'!$A$33,VLOOKUP($A200,Infrastructure!$A$13:$E$74,4,0))&amp;""</f>
        <v>NSSE Shorts as a project does not. See Qualtrics HECVAT 2025 for more details: https://bcsse.iu.edu/doc/bcsse/Qualtrics%20HECVAT%202025.xlsx</v>
      </c>
      <c r="E200" s="331" t="str">
        <f>VLOOKUP($A200,Infrastructure!$A$13:$E$74,5,0)&amp;""</f>
        <v>Describe how you alternately harden your images.</v>
      </c>
      <c r="F200" s="196"/>
      <c r="G200" s="31" t="str">
        <f>VLOOKUP($A200,Questions!$A$2:$X$333,21,0)&amp;""</f>
        <v>Yes</v>
      </c>
      <c r="H200" s="186"/>
      <c r="I200" s="46" t="str">
        <f>VLOOKUP($A200,Questions!$A$2:$X$333,23,0)&amp;""</f>
        <v>Standard Importance</v>
      </c>
      <c r="J200" s="186"/>
      <c r="K200" s="49" t="b">
        <v>0</v>
      </c>
      <c r="L200" s="1"/>
    </row>
    <row r="201" spans="1:12" s="30" customFormat="1" ht="45" x14ac:dyDescent="0.2">
      <c r="A201" s="19" t="str">
        <f>Infrastructure!$A$50</f>
        <v>DCTR-16</v>
      </c>
      <c r="B201" s="20" t="str">
        <f>VLOOKUP($A201,Infrastructure!$A$13:$E$74,2,0)&amp;""</f>
        <v>Does your cloud solution provider have access to your encryption keys?</v>
      </c>
      <c r="C201" s="46" t="str">
        <f>VLOOKUP($A201,Infrastructure!$A$13:$E$74,3,0)&amp;""</f>
        <v>No</v>
      </c>
      <c r="D201" s="35" t="str">
        <f>IF(LEFT(VLOOKUP($A201,Infrastructure!$A$13:$E$74,5,0),21)='Auto Responses'!$A$32,'Auto Responses'!$A$33,VLOOKUP($A201,Infrastructure!$A$13:$E$74,4,0))&amp;""</f>
        <v/>
      </c>
      <c r="E201" s="331" t="str">
        <f>VLOOKUP($A201,Infrastructure!$A$13:$E$74,5,0)&amp;""</f>
        <v>Describe your key management practices.</v>
      </c>
      <c r="F201" s="196"/>
      <c r="G201" s="31" t="str">
        <f>VLOOKUP($A201,Questions!$A$2:$X$333,21,0)&amp;""</f>
        <v>No</v>
      </c>
      <c r="H201" s="186"/>
      <c r="I201" s="46" t="str">
        <f>VLOOKUP($A201,Questions!$A$2:$X$333,23,0)&amp;""</f>
        <v>Standard Importance</v>
      </c>
      <c r="J201" s="186"/>
      <c r="K201" s="49" t="b">
        <v>0</v>
      </c>
      <c r="L201" s="1"/>
    </row>
    <row r="202" spans="1:12" s="1" customFormat="1" ht="18" x14ac:dyDescent="0.2">
      <c r="A202" s="64" t="str">
        <f>VLOOKUP(LEFT($A203,4),'Auto Responses'!$N$4:$O$38,2,0)&amp;""</f>
        <v xml:space="preserve"> Firewalls, IDS, IPS, and Networking</v>
      </c>
      <c r="B202" s="23"/>
      <c r="C202" s="32"/>
      <c r="D202" s="32"/>
      <c r="E202" s="332"/>
      <c r="F202" s="133" t="s">
        <v>1066</v>
      </c>
      <c r="G202" s="336" t="s">
        <v>904</v>
      </c>
      <c r="H202" s="336" t="s">
        <v>906</v>
      </c>
      <c r="I202" s="336" t="s">
        <v>19</v>
      </c>
      <c r="J202" s="336" t="s">
        <v>891</v>
      </c>
      <c r="K202" s="32"/>
    </row>
    <row r="203" spans="1:12" s="30" customFormat="1" ht="180" x14ac:dyDescent="0.2">
      <c r="A203" s="19" t="str">
        <f>Infrastructure!$A$52</f>
        <v>FIDP-01</v>
      </c>
      <c r="B203" s="20" t="str">
        <f>VLOOKUP($A203,Infrastructure!$A$13:$E$74,2,0)&amp;""</f>
        <v>Are you utilizing a stateful packet inspection (SPI) firewall?*</v>
      </c>
      <c r="C203" s="46" t="str">
        <f>VLOOKUP($A203,Infrastructure!$A$13:$E$74,3,0)&amp;""</f>
        <v>Yes</v>
      </c>
      <c r="D203" s="35" t="str">
        <f>IF(LEFT(VLOOKUP($A203,Infrastructure!$A$13:$E$74,5,0),21)='Auto Responses'!$A$32,'Auto Responses'!$A$33,VLOOKUP($A203,Infrastructure!$A$13:$E$74,4,0))&amp;""</f>
        <v>NSSE Shorts as a project does not. see IU Data Management https://datamanagement.iu.edu/index.html
See Qualtrics HECVAT 2025 for more details: https://bcsse.iu.edu/doc/bcsse/Qualtrics%20HECVAT%202025.xlsx</v>
      </c>
      <c r="E203" s="331" t="str">
        <f>VLOOKUP($A203,Infrastructure!$A$13:$E$74,5,0)&amp;""</f>
        <v>Describe the currently implemented SPI firewall.</v>
      </c>
      <c r="F203" s="196"/>
      <c r="G203" s="31" t="str">
        <f>VLOOKUP($A203,Questions!$A$2:$X$333,21,0)&amp;""</f>
        <v>Yes</v>
      </c>
      <c r="H203" s="186"/>
      <c r="I203" s="46" t="str">
        <f>VLOOKUP($A203,Questions!$A$2:$X$333,23,0)&amp;""</f>
        <v>Critical Importance</v>
      </c>
      <c r="J203" s="186"/>
      <c r="K203" s="49" t="b">
        <v>0</v>
      </c>
      <c r="L203" s="1"/>
    </row>
    <row r="204" spans="1:12" s="30" customFormat="1" ht="180" x14ac:dyDescent="0.2">
      <c r="A204" s="19" t="str">
        <f>Infrastructure!$A$53</f>
        <v>FIDP-02</v>
      </c>
      <c r="B204" s="20" t="str">
        <f>VLOOKUP($A204,Infrastructure!$A$13:$E$74,2,0)&amp;""</f>
        <v>Do you have a documented policy for firewall change requests?*</v>
      </c>
      <c r="C204" s="46" t="str">
        <f>VLOOKUP($A204,Infrastructure!$A$13:$E$74,3,0)&amp;""</f>
        <v>Yes</v>
      </c>
      <c r="D204" s="35" t="str">
        <f>IF(LEFT(VLOOKUP($A204,Infrastructure!$A$13:$E$74,5,0),21)='Auto Responses'!$A$32,'Auto Responses'!$A$33,VLOOKUP($A204,Infrastructure!$A$13:$E$74,4,0))&amp;""</f>
        <v>NSSE Shorts as a project does not. see IU Data Management https://datamanagement.iu.edu/index.html
See Qualtrics HECVAT 2025 for more details: https://bcsse.iu.edu/doc/bcsse/Qualtrics%20HECVAT%202025.xlsx</v>
      </c>
      <c r="E204" s="331" t="str">
        <f>VLOOKUP($A204,Infrastructure!$A$13:$E$74,5,0)&amp;""</f>
        <v>Describe your documented firewall change request policy.</v>
      </c>
      <c r="F204" s="196"/>
      <c r="G204" s="31" t="str">
        <f>VLOOKUP($A204,Questions!$A$2:$X$333,21,0)&amp;""</f>
        <v>Yes</v>
      </c>
      <c r="H204" s="186"/>
      <c r="I204" s="46" t="str">
        <f>VLOOKUP($A204,Questions!$A$2:$X$333,23,0)&amp;""</f>
        <v>Critical Importance</v>
      </c>
      <c r="J204" s="186"/>
      <c r="K204" s="49" t="b">
        <v>0</v>
      </c>
      <c r="L204" s="1"/>
    </row>
    <row r="205" spans="1:12" s="30" customFormat="1" ht="180" x14ac:dyDescent="0.2">
      <c r="A205" s="19" t="str">
        <f>Infrastructure!$A$54</f>
        <v>FIDP-03</v>
      </c>
      <c r="B205" s="20" t="str">
        <f>VLOOKUP($A205,Infrastructure!$A$13:$E$74,2,0)&amp;""</f>
        <v>Have you implemented an intrusion detection system (network-based)?*</v>
      </c>
      <c r="C205" s="46" t="str">
        <f>VLOOKUP($A205,Infrastructure!$A$13:$E$74,3,0)&amp;""</f>
        <v>Yes</v>
      </c>
      <c r="D205" s="35" t="str">
        <f>IF(LEFT(VLOOKUP($A205,Infrastructure!$A$13:$E$74,5,0),21)='Auto Responses'!$A$32,'Auto Responses'!$A$33,VLOOKUP($A205,Infrastructure!$A$13:$E$74,4,0))&amp;""</f>
        <v>NSSE Shorts as a project does not. see IU Data Management https://datamanagement.iu.edu/index.html
See Qualtrics HECVAT 2025 for more details: https://bcsse.iu.edu/doc/bcsse/Qualtrics%20HECVAT%202025.xlsx</v>
      </c>
      <c r="E205" s="331" t="str">
        <f>VLOOKUP($A205,Infrastructure!$A$13:$E$74,5,0)&amp;""</f>
        <v>Describe the currently implemented IDS.</v>
      </c>
      <c r="F205" s="196"/>
      <c r="G205" s="31" t="str">
        <f>VLOOKUP($A205,Questions!$A$2:$X$333,21,0)&amp;""</f>
        <v>Yes</v>
      </c>
      <c r="H205" s="186"/>
      <c r="I205" s="46" t="str">
        <f>VLOOKUP($A205,Questions!$A$2:$X$333,23,0)&amp;""</f>
        <v>Critical Importance</v>
      </c>
      <c r="J205" s="186"/>
      <c r="K205" s="49" t="b">
        <v>0</v>
      </c>
      <c r="L205" s="1"/>
    </row>
    <row r="206" spans="1:12" s="30" customFormat="1" ht="180" x14ac:dyDescent="0.2">
      <c r="A206" s="19" t="str">
        <f>Infrastructure!$A$55</f>
        <v>FIDP-04</v>
      </c>
      <c r="B206" s="20" t="str">
        <f>VLOOKUP($A206,Infrastructure!$A$13:$E$74,2,0)&amp;""</f>
        <v>Do you employ host-based intrusion detection?*</v>
      </c>
      <c r="C206" s="46" t="str">
        <f>VLOOKUP($A206,Infrastructure!$A$13:$E$74,3,0)&amp;""</f>
        <v>Yes</v>
      </c>
      <c r="D206" s="35" t="str">
        <f>IF(LEFT(VLOOKUP($A206,Infrastructure!$A$13:$E$74,5,0),21)='Auto Responses'!$A$32,'Auto Responses'!$A$33,VLOOKUP($A206,Infrastructure!$A$13:$E$74,4,0))&amp;""</f>
        <v>NSSE Shorts as a project does not. see IU Data Management https://datamanagement.iu.edu/index.html
See Qualtrics HECVAT 2025 for more details: https://bcsse.iu.edu/doc/bcsse/Qualtrics%20HECVAT%202025.xlsx</v>
      </c>
      <c r="E206" s="331" t="str">
        <f>VLOOKUP($A206,Infrastructure!$A$13:$E$74,5,0)&amp;""</f>
        <v>Describe the currently implemented host-based IDS solution(s).</v>
      </c>
      <c r="F206" s="196"/>
      <c r="G206" s="31" t="str">
        <f>VLOOKUP($A206,Questions!$A$2:$X$333,21,0)&amp;""</f>
        <v>Yes</v>
      </c>
      <c r="H206" s="186"/>
      <c r="I206" s="46" t="str">
        <f>VLOOKUP($A206,Questions!$A$2:$X$333,23,0)&amp;""</f>
        <v>Critical Importance</v>
      </c>
      <c r="J206" s="186"/>
      <c r="K206" s="49" t="b">
        <v>0</v>
      </c>
      <c r="L206" s="1"/>
    </row>
    <row r="207" spans="1:12" s="30" customFormat="1" ht="180" x14ac:dyDescent="0.2">
      <c r="A207" s="19" t="str">
        <f>Infrastructure!$A$56</f>
        <v>FIDP-05</v>
      </c>
      <c r="B207" s="20" t="str">
        <f>VLOOKUP($A207,Infrastructure!$A$13:$E$74,2,0)&amp;""</f>
        <v>Are audit logs available for all changes to the network, firewall, IDS, and IPS systems?*</v>
      </c>
      <c r="C207" s="46" t="str">
        <f>VLOOKUP($A207,Infrastructure!$A$13:$E$74,3,0)&amp;""</f>
        <v>Yes</v>
      </c>
      <c r="D207" s="35" t="str">
        <f>IF(LEFT(VLOOKUP($A207,Infrastructure!$A$13:$E$74,5,0),21)='Auto Responses'!$A$32,'Auto Responses'!$A$33,VLOOKUP($A207,Infrastructure!$A$13:$E$74,4,0))&amp;""</f>
        <v>NSSE Shorts as a project does not. see IU Data Management https://datamanagement.iu.edu/index.html
See Qualtrics HECVAT 2025 for more details: https://bcsse.iu.edu/doc/bcsse/Qualtrics%20HECVAT%202025.xlsx</v>
      </c>
      <c r="E207" s="331" t="str">
        <f>VLOOKUP($A207,Infrastructure!$A$13:$E$74,5,0)&amp;""</f>
        <v>Describe your current network systems logging strategy.</v>
      </c>
      <c r="F207" s="196"/>
      <c r="G207" s="31" t="str">
        <f>VLOOKUP($A207,Questions!$A$2:$X$333,21,0)&amp;""</f>
        <v>Yes</v>
      </c>
      <c r="H207" s="186"/>
      <c r="I207" s="46" t="str">
        <f>VLOOKUP($A207,Questions!$A$2:$X$333,23,0)&amp;""</f>
        <v>Critical Importance</v>
      </c>
      <c r="J207" s="186"/>
      <c r="K207" s="49" t="b">
        <v>0</v>
      </c>
      <c r="L207" s="1"/>
    </row>
    <row r="208" spans="1:12" s="30" customFormat="1" ht="180" x14ac:dyDescent="0.2">
      <c r="A208" s="19" t="str">
        <f>Infrastructure!$A$57</f>
        <v>FIDP-06</v>
      </c>
      <c r="B208" s="20" t="str">
        <f>VLOOKUP($A208,Infrastructure!$A$13:$E$74,2,0)&amp;""</f>
        <v>Is authority for firewall change approval documented? Please list approver names or titles in Additional Info.</v>
      </c>
      <c r="C208" s="46" t="str">
        <f>VLOOKUP($A208,Infrastructure!$A$13:$E$74,3,0)&amp;""</f>
        <v>Yes</v>
      </c>
      <c r="D208" s="35" t="str">
        <f>IF(LEFT(VLOOKUP($A208,Infrastructure!$A$13:$E$74,5,0),21)='Auto Responses'!$A$32,'Auto Responses'!$A$33,VLOOKUP($A208,Infrastructure!$A$13:$E$74,4,0))&amp;""</f>
        <v>NSSE Shorts as a project does not. see IU Data Management https://datamanagement.iu.edu/index.html
See Qualtrics HECVAT 2025 for more details: https://bcsse.iu.edu/doc/bcsse/Qualtrics%20HECVAT%202025.xlsx</v>
      </c>
      <c r="E208" s="331" t="str">
        <f>VLOOKUP($A208,Infrastructure!$A$13:$E$74,5,0)&amp;""</f>
        <v>List approver names or titles.</v>
      </c>
      <c r="F208" s="196"/>
      <c r="G208" s="31" t="str">
        <f>VLOOKUP($A208,Questions!$A$2:$X$333,21,0)&amp;""</f>
        <v>Yes</v>
      </c>
      <c r="H208" s="186"/>
      <c r="I208" s="46" t="str">
        <f>VLOOKUP($A208,Questions!$A$2:$X$333,23,0)&amp;""</f>
        <v>Standard Importance</v>
      </c>
      <c r="J208" s="186"/>
      <c r="K208" s="49" t="b">
        <v>0</v>
      </c>
      <c r="L208" s="1"/>
    </row>
    <row r="209" spans="1:12" s="30" customFormat="1" ht="180" x14ac:dyDescent="0.2">
      <c r="A209" s="19" t="str">
        <f>Infrastructure!$A$58</f>
        <v>FIDP-07</v>
      </c>
      <c r="B209" s="20" t="str">
        <f>VLOOKUP($A209,Infrastructure!$A$13:$E$74,2,0)&amp;""</f>
        <v>Have you implemented an intrusion prevention system (network-based)?</v>
      </c>
      <c r="C209" s="46" t="str">
        <f>VLOOKUP($A209,Infrastructure!$A$13:$E$74,3,0)&amp;""</f>
        <v>Yes</v>
      </c>
      <c r="D209" s="35" t="str">
        <f>IF(LEFT(VLOOKUP($A209,Infrastructure!$A$13:$E$74,5,0),21)='Auto Responses'!$A$32,'Auto Responses'!$A$33,VLOOKUP($A209,Infrastructure!$A$13:$E$74,4,0))&amp;""</f>
        <v>NSSE Shorts as a project does not. see IU Data Management https://datamanagement.iu.edu/index.html
See Qualtrics HECVAT 2025 for more details: https://bcsse.iu.edu/doc/bcsse/Qualtrics%20HECVAT%202025.xlsx</v>
      </c>
      <c r="E209" s="331" t="str">
        <f>VLOOKUP($A209,Infrastructure!$A$13:$E$74,5,0)&amp;""</f>
        <v>Describe the currently implemented IPS.</v>
      </c>
      <c r="F209" s="196"/>
      <c r="G209" s="31" t="str">
        <f>VLOOKUP($A209,Questions!$A$2:$X$333,21,0)&amp;""</f>
        <v>Yes</v>
      </c>
      <c r="H209" s="186"/>
      <c r="I209" s="46" t="str">
        <f>VLOOKUP($A209,Questions!$A$2:$X$333,23,0)&amp;""</f>
        <v>Standard Importance</v>
      </c>
      <c r="J209" s="186"/>
      <c r="K209" s="49" t="b">
        <v>0</v>
      </c>
      <c r="L209" s="1"/>
    </row>
    <row r="210" spans="1:12" s="30" customFormat="1" ht="180" x14ac:dyDescent="0.2">
      <c r="A210" s="19" t="str">
        <f>Infrastructure!$A$59</f>
        <v>FIDP-08</v>
      </c>
      <c r="B210" s="20" t="str">
        <f>VLOOKUP($A210,Infrastructure!$A$13:$E$74,2,0)&amp;""</f>
        <v>Do you employ host-based intrusion prevention?</v>
      </c>
      <c r="C210" s="46" t="str">
        <f>VLOOKUP($A210,Infrastructure!$A$13:$E$74,3,0)&amp;""</f>
        <v>Yes</v>
      </c>
      <c r="D210" s="35" t="str">
        <f>IF(LEFT(VLOOKUP($A210,Infrastructure!$A$13:$E$74,5,0),21)='Auto Responses'!$A$32,'Auto Responses'!$A$33,VLOOKUP($A210,Infrastructure!$A$13:$E$74,4,0))&amp;""</f>
        <v>NSSE Shorts as a project does not. see IU Data Management https://datamanagement.iu.edu/index.html
See Qualtrics HECVAT 2025 for more details: https://bcsse.iu.edu/doc/bcsse/Qualtrics%20HECVAT%202025.xlsx</v>
      </c>
      <c r="E210" s="331" t="str">
        <f>VLOOKUP($A210,Infrastructure!$A$13:$E$74,5,0)&amp;""</f>
        <v>Describe the currently implemented host-based IPS solution(s).</v>
      </c>
      <c r="F210" s="196"/>
      <c r="G210" s="31" t="str">
        <f>VLOOKUP($A210,Questions!$A$2:$X$333,21,0)&amp;""</f>
        <v>Yes</v>
      </c>
      <c r="H210" s="186"/>
      <c r="I210" s="46" t="str">
        <f>VLOOKUP($A210,Questions!$A$2:$X$333,23,0)&amp;""</f>
        <v>Standard Importance</v>
      </c>
      <c r="J210" s="186"/>
      <c r="K210" s="49" t="b">
        <v>0</v>
      </c>
      <c r="L210" s="1"/>
    </row>
    <row r="211" spans="1:12" s="30" customFormat="1" ht="180" x14ac:dyDescent="0.2">
      <c r="A211" s="19" t="str">
        <f>Infrastructure!$A$60</f>
        <v>FIDP-09</v>
      </c>
      <c r="B211" s="20" t="str">
        <f>VLOOKUP($A211,Infrastructure!$A$13:$E$74,2,0)&amp;""</f>
        <v>Are you employing any next-generation persistent threat (NGPT) monitoring?</v>
      </c>
      <c r="C211" s="46" t="str">
        <f>VLOOKUP($A211,Infrastructure!$A$13:$E$74,3,0)&amp;""</f>
        <v>Yes</v>
      </c>
      <c r="D211" s="35" t="str">
        <f>IF(LEFT(VLOOKUP($A211,Infrastructure!$A$13:$E$74,5,0),21)='Auto Responses'!$A$32,'Auto Responses'!$A$33,VLOOKUP($A211,Infrastructure!$A$13:$E$74,4,0))&amp;""</f>
        <v>NSSE Shorts as a project does not. see IU Data Management https://datamanagement.iu.edu/index.html
See Qualtrics HECVAT 2025 for more details: https://bcsse.iu.edu/doc/bcsse/Qualtrics%20HECVAT%202025.xlsx</v>
      </c>
      <c r="E211" s="331" t="str">
        <f>VLOOKUP($A211,Infrastructure!$A$13:$E$74,5,0)&amp;""</f>
        <v>Describe your NGPT monitoring strategy.</v>
      </c>
      <c r="F211" s="196"/>
      <c r="G211" s="31" t="str">
        <f>VLOOKUP($A211,Questions!$A$2:$X$333,21,0)&amp;""</f>
        <v>Yes</v>
      </c>
      <c r="H211" s="186"/>
      <c r="I211" s="46" t="str">
        <f>VLOOKUP($A211,Questions!$A$2:$X$333,23,0)&amp;""</f>
        <v>Standard Importance</v>
      </c>
      <c r="J211" s="186"/>
      <c r="K211" s="49" t="b">
        <v>0</v>
      </c>
      <c r="L211" s="1"/>
    </row>
    <row r="212" spans="1:12" s="30" customFormat="1" ht="180" x14ac:dyDescent="0.2">
      <c r="A212" s="19" t="str">
        <f>Infrastructure!$A$61</f>
        <v>FIDP-10</v>
      </c>
      <c r="B212" s="20" t="str">
        <f>VLOOKUP($A212,Infrastructure!$A$13:$E$74,2,0)&amp;""</f>
        <v>Is intrusion monitoring performed internally or by a third-party service?</v>
      </c>
      <c r="C212" s="46" t="str">
        <f>VLOOKUP($A212,Infrastructure!$A$13:$E$74,3,0)&amp;""</f>
        <v>Yes</v>
      </c>
      <c r="D212" s="35" t="str">
        <f>IF(LEFT(VLOOKUP($A212,Infrastructure!$A$13:$E$74,5,0),21)='Auto Responses'!$A$32,'Auto Responses'!$A$33,VLOOKUP($A212,Infrastructure!$A$13:$E$74,4,0))&amp;""</f>
        <v>NSSE Shorts as a project does not. see IU Data Management https://datamanagement.iu.edu/index.html
See Qualtrics HECVAT 2025 for more details: https://bcsse.iu.edu/doc/bcsse/Qualtrics%20HECVAT%202025.xlsx</v>
      </c>
      <c r="E212" s="331" t="str">
        <f>VLOOKUP($A212,Infrastructure!$A$13:$E$74,5,0)&amp;""</f>
        <v>In addition to stating your intrusion monitoring strategy, provide a brief summary of its implementation.</v>
      </c>
      <c r="F212" s="196"/>
      <c r="G212" s="31" t="str">
        <f>VLOOKUP($A212,Questions!$A$2:$X$333,21,0)&amp;""</f>
        <v>Not scored</v>
      </c>
      <c r="H212" s="186"/>
      <c r="I212" s="46" t="str">
        <f>VLOOKUP($A212,Questions!$A$2:$X$333,23,0)&amp;""</f>
        <v/>
      </c>
      <c r="J212" s="186"/>
      <c r="K212" s="49" t="b">
        <v>0</v>
      </c>
      <c r="L212" s="1"/>
    </row>
    <row r="213" spans="1:12" s="30" customFormat="1" ht="180" x14ac:dyDescent="0.2">
      <c r="A213" s="19" t="str">
        <f>Infrastructure!$A$62</f>
        <v>FIDP-11</v>
      </c>
      <c r="B213" s="20" t="str">
        <f>VLOOKUP($A213,Infrastructure!$A$13:$E$74,2,0)&amp;""</f>
        <v>Do you monitor for intrusions on a 24 x 7 x 365 basis?</v>
      </c>
      <c r="C213" s="46" t="str">
        <f>VLOOKUP($A213,Infrastructure!$A$13:$E$74,3,0)&amp;""</f>
        <v>Yes</v>
      </c>
      <c r="D213" s="35" t="str">
        <f>IF(LEFT(VLOOKUP($A213,Infrastructure!$A$13:$E$74,5,0),21)='Auto Responses'!$A$32,'Auto Responses'!$A$33,VLOOKUP($A213,Infrastructure!$A$13:$E$74,4,0))&amp;""</f>
        <v>NSSE Shorts as a project does not. see IU Data Management https://datamanagement.iu.edu/index.html
See Qualtrics HECVAT 2025 for more details: https://bcsse.iu.edu/doc/bcsse/Qualtrics%20HECVAT%202025.xlsx</v>
      </c>
      <c r="E213" s="331" t="str">
        <f>VLOOKUP($A213,Infrastructure!$A$13:$E$74,5,0)&amp;""</f>
        <v>Provide a brief summary of this activity.</v>
      </c>
      <c r="F213" s="196"/>
      <c r="G213" s="31" t="str">
        <f>VLOOKUP($A213,Questions!$A$2:$X$333,21,0)&amp;""</f>
        <v>Yes</v>
      </c>
      <c r="H213" s="186"/>
      <c r="I213" s="46" t="str">
        <f>VLOOKUP($A213,Questions!$A$2:$X$333,23,0)&amp;""</f>
        <v>Minor Importance</v>
      </c>
      <c r="J213" s="186"/>
      <c r="K213" s="49" t="b">
        <v>0</v>
      </c>
      <c r="L213" s="1"/>
    </row>
    <row r="214" spans="1:12" s="1" customFormat="1" ht="18" x14ac:dyDescent="0.2">
      <c r="A214" s="64" t="str">
        <f>VLOOKUP(LEFT($A215,4),'Auto Responses'!$N$4:$O$38,2,0)&amp;""</f>
        <v xml:space="preserve"> Incident Handling</v>
      </c>
      <c r="B214" s="23"/>
      <c r="C214" s="32"/>
      <c r="D214" s="32"/>
      <c r="E214" s="332"/>
      <c r="F214" s="133" t="s">
        <v>1066</v>
      </c>
      <c r="G214" s="336" t="s">
        <v>904</v>
      </c>
      <c r="H214" s="336" t="s">
        <v>906</v>
      </c>
      <c r="I214" s="336" t="s">
        <v>19</v>
      </c>
      <c r="J214" s="336" t="s">
        <v>891</v>
      </c>
      <c r="K214" s="32"/>
    </row>
    <row r="215" spans="1:12" s="30" customFormat="1" ht="180" x14ac:dyDescent="0.2">
      <c r="A215" s="19" t="str">
        <f>Infrastructure!$A$64</f>
        <v>HFIH-01</v>
      </c>
      <c r="B215" s="20" t="str">
        <f>VLOOKUP($A215,Infrastructure!$A$13:$E$74,2,0)&amp;""</f>
        <v>Do you have a formal incident response plan?</v>
      </c>
      <c r="C215" s="46" t="str">
        <f>VLOOKUP($A215,Infrastructure!$A$13:$E$74,3,0)&amp;""</f>
        <v>Yes</v>
      </c>
      <c r="D215" s="35" t="str">
        <f>IF(LEFT(VLOOKUP($A215,Infrastructure!$A$13:$E$74,5,0),21)='Auto Responses'!$A$32,'Auto Responses'!$A$33,VLOOKUP($A215,Infrastructure!$A$13:$E$74,4,0))&amp;""</f>
        <v>NSSE Shorts as a project does not. see IU Data Management https://datamanagement.iu.edu/index.html
See Qualtrics HECVAT 2025 for more details: https://bcsse.iu.edu/doc/bcsse/Qualtrics%20HECVAT%202025.xlsx</v>
      </c>
      <c r="E215" s="331" t="str">
        <f>VLOOKUP($A215,Infrastructure!$A$13:$E$74,5,0)&amp;""</f>
        <v>Summarize or provide a link to your formal incident response plan.</v>
      </c>
      <c r="F215" s="196"/>
      <c r="G215" s="31" t="str">
        <f>VLOOKUP($A215,Questions!$A$2:$X$333,21,0)&amp;""</f>
        <v>Yes</v>
      </c>
      <c r="H215" s="186"/>
      <c r="I215" s="46" t="str">
        <f>VLOOKUP($A215,Questions!$A$2:$X$333,23,0)&amp;""</f>
        <v>Standard Importance</v>
      </c>
      <c r="J215" s="186"/>
      <c r="K215" s="49" t="b">
        <v>0</v>
      </c>
      <c r="L215" s="1"/>
    </row>
    <row r="216" spans="1:12" s="30" customFormat="1" ht="180" x14ac:dyDescent="0.2">
      <c r="A216" s="19" t="str">
        <f>Infrastructure!$A$65</f>
        <v>HFIH-02</v>
      </c>
      <c r="B216" s="20" t="str">
        <f>VLOOKUP($A216,Infrastructure!$A$13:$E$74,2,0)&amp;""</f>
        <v>Do you either have an internal incident response team or retain an external team?</v>
      </c>
      <c r="C216" s="46" t="str">
        <f>VLOOKUP($A216,Infrastructure!$A$13:$E$74,3,0)&amp;""</f>
        <v>Yes</v>
      </c>
      <c r="D216" s="35" t="str">
        <f>IF(LEFT(VLOOKUP($A216,Infrastructure!$A$13:$E$74,5,0),21)='Auto Responses'!$A$32,'Auto Responses'!$A$33,VLOOKUP($A216,Infrastructure!$A$13:$E$74,4,0))&amp;""</f>
        <v>NSSE Shorts as a project does not. see IU Data Management https://datamanagement.iu.edu/index.html
See Qualtrics HECVAT 2025 for more details: https://bcsse.iu.edu/doc/bcsse/Qualtrics%20HECVAT%202025.xlsx</v>
      </c>
      <c r="E216" s="331" t="str">
        <f>VLOOKUP($A216,Infrastructure!$A$13:$E$74,5,0)&amp;""</f>
        <v>Summarize your incident response and reporting processes.</v>
      </c>
      <c r="F216" s="196"/>
      <c r="G216" s="31" t="str">
        <f>VLOOKUP($A216,Questions!$A$2:$X$333,21,0)&amp;""</f>
        <v>Yes</v>
      </c>
      <c r="H216" s="186"/>
      <c r="I216" s="46" t="str">
        <f>VLOOKUP($A216,Questions!$A$2:$X$333,23,0)&amp;""</f>
        <v>Minor Importance</v>
      </c>
      <c r="J216" s="186"/>
      <c r="K216" s="49" t="b">
        <v>0</v>
      </c>
      <c r="L216" s="1"/>
    </row>
    <row r="217" spans="1:12" s="30" customFormat="1" ht="180" x14ac:dyDescent="0.2">
      <c r="A217" s="19" t="str">
        <f>Infrastructure!$A$66</f>
        <v>HFIH-03</v>
      </c>
      <c r="B217" s="20" t="str">
        <f>VLOOKUP($A217,Infrastructure!$A$13:$E$74,2,0)&amp;""</f>
        <v>Do you have the capability to respond to incidents on a 24 x 7 x 365 basis?</v>
      </c>
      <c r="C217" s="46" t="str">
        <f>VLOOKUP($A217,Infrastructure!$A$13:$E$74,3,0)&amp;""</f>
        <v>Yes</v>
      </c>
      <c r="D217" s="35" t="str">
        <f>IF(LEFT(VLOOKUP($A217,Infrastructure!$A$13:$E$74,5,0),21)='Auto Responses'!$A$32,'Auto Responses'!$A$33,VLOOKUP($A217,Infrastructure!$A$13:$E$74,4,0))&amp;""</f>
        <v>NSSE Shorts as a project does not. see IU Data Management https://datamanagement.iu.edu/index.html
See Qualtrics HECVAT 2025 for more details: https://bcsse.iu.edu/doc/bcsse/Qualtrics%20HECVAT%202025.xlsx</v>
      </c>
      <c r="E217" s="331" t="str">
        <f>VLOOKUP($A217,Infrastructure!$A$13:$E$74,5,0)&amp;""</f>
        <v>Summarize your internal approach or reference your third-party contractor.</v>
      </c>
      <c r="F217" s="196"/>
      <c r="G217" s="31" t="str">
        <f>VLOOKUP($A217,Questions!$A$2:$X$333,21,0)&amp;""</f>
        <v>Yes</v>
      </c>
      <c r="H217" s="186"/>
      <c r="I217" s="46" t="str">
        <f>VLOOKUP($A217,Questions!$A$2:$X$333,23,0)&amp;""</f>
        <v>Minor Importance</v>
      </c>
      <c r="J217" s="186"/>
      <c r="K217" s="49" t="b">
        <v>0</v>
      </c>
      <c r="L217" s="1"/>
    </row>
    <row r="218" spans="1:12" s="30" customFormat="1" ht="135" x14ac:dyDescent="0.2">
      <c r="A218" s="19" t="str">
        <f>Infrastructure!$A$67</f>
        <v>HFIH-04</v>
      </c>
      <c r="B218" s="20" t="str">
        <f>VLOOKUP($A218,Infrastructure!$A$13:$E$74,2,0)&amp;""</f>
        <v>Do you carry cyber-risk insurance to protect against unforeseen service outages, data that is lost or stolen, and security incidents?</v>
      </c>
      <c r="C218" s="46" t="str">
        <f>VLOOKUP($A218,Infrastructure!$A$13:$E$74,3,0)&amp;""</f>
        <v>Yes</v>
      </c>
      <c r="D218" s="35" t="str">
        <f>IF(LEFT(VLOOKUP($A218,Infrastructure!$A$13:$E$74,5,0),21)='Auto Responses'!$A$32,'Auto Responses'!$A$33,VLOOKUP($A218,Infrastructure!$A$13:$E$74,4,0))&amp;""</f>
        <v>Yes, IU carries cyber risk insurance.
Qualtrics cyber insurance can be found here: http://www.qualtrics.com/evidence-of-insurance</v>
      </c>
      <c r="E218" s="331" t="str">
        <f>VLOOKUP($A218,Infrastructure!$A$13:$E$74,5,0)&amp;""</f>
        <v>Describe the coverage in place for this solution.</v>
      </c>
      <c r="F218" s="196"/>
      <c r="G218" s="31" t="str">
        <f>VLOOKUP($A218,Questions!$A$2:$X$333,21,0)&amp;""</f>
        <v>Yes</v>
      </c>
      <c r="H218" s="186"/>
      <c r="I218" s="46" t="str">
        <f>VLOOKUP($A218,Questions!$A$2:$X$333,23,0)&amp;""</f>
        <v>Minor Importance</v>
      </c>
      <c r="J218" s="186"/>
      <c r="K218" s="49" t="b">
        <v>0</v>
      </c>
      <c r="L218" s="1"/>
    </row>
    <row r="219" spans="1:12" s="1" customFormat="1" ht="18" x14ac:dyDescent="0.2">
      <c r="A219" s="64" t="str">
        <f>VLOOKUP(LEFT($A220,4),'Auto Responses'!$N$4:$O$38,2,0)&amp;""</f>
        <v xml:space="preserve"> Vulnerability Management</v>
      </c>
      <c r="B219" s="23"/>
      <c r="C219" s="32"/>
      <c r="D219" s="32"/>
      <c r="E219" s="332"/>
      <c r="F219" s="133" t="s">
        <v>1066</v>
      </c>
      <c r="G219" s="336" t="s">
        <v>904</v>
      </c>
      <c r="H219" s="336" t="s">
        <v>906</v>
      </c>
      <c r="I219" s="336" t="s">
        <v>19</v>
      </c>
      <c r="J219" s="336" t="s">
        <v>891</v>
      </c>
      <c r="K219" s="32"/>
    </row>
    <row r="220" spans="1:12" s="30" customFormat="1" ht="180" x14ac:dyDescent="0.2">
      <c r="A220" s="19" t="str">
        <f>Infrastructure!$A$69</f>
        <v>VULN-01</v>
      </c>
      <c r="B220" s="20" t="str">
        <f>VLOOKUP($A220,Infrastructure!$A$13:$E$74,2,0)&amp;""</f>
        <v>Are your systems and applications scanned with an authenticated user account for vulnerabilities (that are remediated) prior to new releases?*</v>
      </c>
      <c r="C220" s="46" t="str">
        <f>VLOOKUP($A220,Infrastructure!$A$13:$E$74,3,0)&amp;""</f>
        <v>Yes</v>
      </c>
      <c r="D220" s="35" t="str">
        <f>IF(LEFT(VLOOKUP($A220,Infrastructure!$A$13:$E$74,5,0),21)='Auto Responses'!$A$32,'Auto Responses'!$A$33,VLOOKUP($A220,Infrastructure!$A$13:$E$74,4,0))&amp;""</f>
        <v>NSSE Shorts as a project does not. see IU Data Management https://datamanagement.iu.edu/index.html
See Qualtrics HECVAT 2025 for more details: https://bcsse.iu.edu/doc/bcsse/Qualtrics%20HECVAT%202025.xlsx</v>
      </c>
      <c r="E220" s="331" t="str">
        <f>VLOOKUP($A220,Infrastructure!$A$13:$E$74,5,0)&amp;""</f>
        <v>Provide a brief description.</v>
      </c>
      <c r="F220" s="196"/>
      <c r="G220" s="31" t="str">
        <f>VLOOKUP($A220,Questions!$A$2:$X$333,21,0)&amp;""</f>
        <v>Yes</v>
      </c>
      <c r="H220" s="186"/>
      <c r="I220" s="46" t="str">
        <f>VLOOKUP($A220,Questions!$A$2:$X$333,23,0)&amp;""</f>
        <v>Critical Importance</v>
      </c>
      <c r="J220" s="186"/>
      <c r="K220" s="49" t="b">
        <v>0</v>
      </c>
      <c r="L220" s="1"/>
    </row>
    <row r="221" spans="1:12" s="30" customFormat="1" ht="180" x14ac:dyDescent="0.2">
      <c r="A221" s="19" t="str">
        <f>Infrastructure!$A$70</f>
        <v>VULN-02</v>
      </c>
      <c r="B221" s="20" t="str">
        <f>VLOOKUP($A221,Infrastructure!$A$13:$E$74,2,0)&amp;""</f>
        <v>Will you provide results of application and system vulnerability scans to the institution?*</v>
      </c>
      <c r="C221" s="46" t="str">
        <f>VLOOKUP($A221,Infrastructure!$A$13:$E$74,3,0)&amp;""</f>
        <v>Yes</v>
      </c>
      <c r="D221" s="35" t="str">
        <f>IF(LEFT(VLOOKUP($A221,Infrastructure!$A$13:$E$74,5,0),21)='Auto Responses'!$A$32,'Auto Responses'!$A$33,VLOOKUP($A221,Infrastructure!$A$13:$E$74,4,0))&amp;""</f>
        <v>NSSE Shorts as a project does not. see IU Data Management https://datamanagement.iu.edu/index.html
See Qualtrics HECVAT 2025 for more details: https://bcsse.iu.edu/doc/bcsse/Qualtrics%20HECVAT%202025.xlsx</v>
      </c>
      <c r="E221" s="331" t="str">
        <f>VLOOKUP($A221,Infrastructure!$A$13:$E$74,5,0)&amp;""</f>
        <v>Provide a reference to security scan documentation.</v>
      </c>
      <c r="F221" s="196"/>
      <c r="G221" s="31" t="str">
        <f>VLOOKUP($A221,Questions!$A$2:$X$333,21,0)&amp;""</f>
        <v>Yes</v>
      </c>
      <c r="H221" s="186"/>
      <c r="I221" s="46" t="str">
        <f>VLOOKUP($A221,Questions!$A$2:$X$333,23,0)&amp;""</f>
        <v>Critical Importance</v>
      </c>
      <c r="J221" s="186"/>
      <c r="K221" s="49" t="b">
        <v>0</v>
      </c>
      <c r="L221" s="1"/>
    </row>
    <row r="222" spans="1:12" s="30" customFormat="1" ht="180" x14ac:dyDescent="0.2">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6" t="str">
        <f>VLOOKUP($A222,Infrastructure!$A$13:$E$74,3,0)&amp;""</f>
        <v>Yes</v>
      </c>
      <c r="D222" s="35" t="str">
        <f>IF(LEFT(VLOOKUP($A222,Infrastructure!$A$13:$E$74,5,0),21)='Auto Responses'!$A$32,'Auto Responses'!$A$33,VLOOKUP($A222,Infrastructure!$A$13:$E$74,4,0))&amp;""</f>
        <v>NSSE Shorts as a project does not. see IU Data Management https://datamanagement.iu.edu/index.html
See Qualtrics HECVAT 2025 for more details: https://bcsse.iu.edu/doc/bcsse/Qualtrics%20HECVAT%202025.xlsx</v>
      </c>
      <c r="E222" s="331" t="str">
        <f>VLOOKUP($A222,Infrastructure!$A$13:$E$74,5,0)&amp;""</f>
        <v>Provide reference to the process or procedure to set up security testing times and scopes.</v>
      </c>
      <c r="F222" s="196"/>
      <c r="G222" s="31" t="str">
        <f>VLOOKUP($A222,Questions!$A$2:$X$333,21,0)&amp;""</f>
        <v>Yes</v>
      </c>
      <c r="H222" s="186"/>
      <c r="I222" s="46" t="str">
        <f>VLOOKUP($A222,Questions!$A$2:$X$333,23,0)&amp;""</f>
        <v>Critical Importance</v>
      </c>
      <c r="J222" s="186"/>
      <c r="K222" s="49" t="b">
        <v>0</v>
      </c>
      <c r="L222" s="1"/>
    </row>
    <row r="223" spans="1:12" s="30" customFormat="1" ht="180" x14ac:dyDescent="0.2">
      <c r="A223" s="19" t="str">
        <f>Infrastructure!$A$72</f>
        <v>VULN-04</v>
      </c>
      <c r="B223" s="20" t="str">
        <f>VLOOKUP($A223,Infrastructure!$A$13:$E$74,2,0)&amp;""</f>
        <v>Have your systems and applications had a third-party security assessment completed in the last year?</v>
      </c>
      <c r="C223" s="46" t="str">
        <f>VLOOKUP($A223,Infrastructure!$A$13:$E$74,3,0)&amp;""</f>
        <v>Yes</v>
      </c>
      <c r="D223" s="35" t="str">
        <f>IF(LEFT(VLOOKUP($A223,Infrastructure!$A$13:$E$74,5,0),21)='Auto Responses'!$A$32,'Auto Responses'!$A$33,VLOOKUP($A223,Infrastructure!$A$13:$E$74,4,0))&amp;""</f>
        <v>NSSE Shorts as a project does not. see IU Data Management https://datamanagement.iu.edu/index.html
See Qualtrics HECVAT 2025 for more details: https://bcsse.iu.edu/doc/bcsse/Qualtrics%20HECVAT%202025.xlsx</v>
      </c>
      <c r="E223" s="331" t="str">
        <f>VLOOKUP($A223,Infrastructure!$A$13:$E$74,5,0)&amp;""</f>
        <v>Provide the results with this document (link or attached), if possible. State the date of the last completed third-party security assessment.</v>
      </c>
      <c r="F223" s="196"/>
      <c r="G223" s="31" t="str">
        <f>VLOOKUP($A223,Questions!$A$2:$X$333,21,0)&amp;""</f>
        <v>Yes</v>
      </c>
      <c r="H223" s="186"/>
      <c r="I223" s="46" t="str">
        <f>VLOOKUP($A223,Questions!$A$2:$X$333,23,0)&amp;""</f>
        <v>Standard Importance</v>
      </c>
      <c r="J223" s="186"/>
      <c r="K223" s="49" t="b">
        <v>0</v>
      </c>
      <c r="L223" s="1"/>
    </row>
    <row r="224" spans="1:12" s="30" customFormat="1" ht="180" x14ac:dyDescent="0.2">
      <c r="A224" s="19" t="str">
        <f>Infrastructure!$A$73</f>
        <v>VULN-05</v>
      </c>
      <c r="B224" s="20" t="str">
        <f>VLOOKUP($A224,Infrastructure!$A$13:$E$74,2,0)&amp;""</f>
        <v>Do you regularly scan for common web application security vulnerabilities (e.g., SQL injection, XSS, XSRF, etc.)?</v>
      </c>
      <c r="C224" s="46" t="str">
        <f>VLOOKUP($A224,Infrastructure!$A$13:$E$74,3,0)&amp;""</f>
        <v>Yes</v>
      </c>
      <c r="D224" s="35" t="str">
        <f>IF(LEFT(VLOOKUP($A224,Infrastructure!$A$13:$E$74,5,0),21)='Auto Responses'!$A$32,'Auto Responses'!$A$33,VLOOKUP($A224,Infrastructure!$A$13:$E$74,4,0))&amp;""</f>
        <v>NSSE Shorts as a project does not. see IU Data Management https://datamanagement.iu.edu/index.html
See Qualtrics HECVAT 2025 for more details: https://bcsse.iu.edu/doc/bcsse/Qualtrics%20HECVAT%202025.xlsx</v>
      </c>
      <c r="E224" s="331" t="str">
        <f>VLOOKUP($A224,Infrastructure!$A$13:$E$74,5,0)&amp;""</f>
        <v>Ensure that all elements of VULN-05 are clearly stated in your response.</v>
      </c>
      <c r="F224" s="196"/>
      <c r="G224" s="31" t="str">
        <f>VLOOKUP($A224,Questions!$A$2:$X$333,21,0)&amp;""</f>
        <v>Yes</v>
      </c>
      <c r="H224" s="186"/>
      <c r="I224" s="46" t="str">
        <f>VLOOKUP($A224,Questions!$A$2:$X$333,23,0)&amp;""</f>
        <v>Standard Importance</v>
      </c>
      <c r="J224" s="186"/>
      <c r="K224" s="49" t="b">
        <v>0</v>
      </c>
      <c r="L224" s="1"/>
    </row>
    <row r="225" spans="1:12" s="30" customFormat="1" ht="180.75" thickBot="1" x14ac:dyDescent="0.25">
      <c r="A225" s="19" t="str">
        <f>Infrastructure!$A$74</f>
        <v>VULN-06</v>
      </c>
      <c r="B225" s="20" t="str">
        <f>VLOOKUP($A225,Infrastructure!$A$13:$E$74,2,0)&amp;""</f>
        <v>Are your systems and applications regularly scanned externally for vulnerabilities?</v>
      </c>
      <c r="C225" s="46" t="str">
        <f>VLOOKUP($A225,Infrastructure!$A$13:$E$74,3,0)&amp;""</f>
        <v>Yes</v>
      </c>
      <c r="D225" s="35" t="str">
        <f>IF(LEFT(VLOOKUP($A225,Infrastructure!$A$13:$E$74,5,0),21)='Auto Responses'!$A$32,'Auto Responses'!$A$33,VLOOKUP($A225,Infrastructure!$A$13:$E$74,4,0))&amp;""</f>
        <v>NSSE Shorts as a project does not. see IU Data Management https://datamanagement.iu.edu/index.html
See Qualtrics HECVAT 2025 for more details: https://bcsse.iu.edu/doc/bcsse/Qualtrics%20HECVAT%202025.xlsx</v>
      </c>
      <c r="E225" s="331" t="str">
        <f>VLOOKUP($A225,Infrastructure!$A$13:$E$74,5,0)&amp;""</f>
        <v>Decribe your external application vulnerability scanning strategy.</v>
      </c>
      <c r="F225" s="196"/>
      <c r="G225" s="31" t="str">
        <f>VLOOKUP($A225,Questions!$A$2:$X$333,21,0)&amp;""</f>
        <v>Yes</v>
      </c>
      <c r="H225" s="186"/>
      <c r="I225" s="46" t="str">
        <f>VLOOKUP($A225,Questions!$A$2:$X$333,23,0)&amp;""</f>
        <v>Minor Importance</v>
      </c>
      <c r="J225" s="186"/>
      <c r="K225" s="50" t="b">
        <v>0</v>
      </c>
      <c r="L225" s="1"/>
    </row>
    <row r="226" spans="1:12" s="1" customFormat="1" ht="18" x14ac:dyDescent="0.2">
      <c r="A226" s="64" t="str">
        <f>VLOOKUP(LEFT($A227,4),'Auto Responses'!$N$4:$O$38,2,0)&amp;""</f>
        <v xml:space="preserve"> IT Accessibility</v>
      </c>
      <c r="B226" s="23"/>
      <c r="C226" s="32"/>
      <c r="D226" s="32"/>
      <c r="E226" s="332"/>
      <c r="F226" s="133" t="s">
        <v>1066</v>
      </c>
      <c r="G226" s="336" t="s">
        <v>904</v>
      </c>
      <c r="H226" s="336" t="s">
        <v>906</v>
      </c>
      <c r="I226" s="336" t="s">
        <v>19</v>
      </c>
      <c r="J226" s="336" t="s">
        <v>891</v>
      </c>
      <c r="K226" s="32"/>
    </row>
    <row r="227" spans="1:12" s="30" customFormat="1" ht="15" x14ac:dyDescent="0.2">
      <c r="A227" s="19" t="str">
        <f>'IT Accessibility'!$A$20</f>
        <v>ITAC-01</v>
      </c>
      <c r="B227" s="20" t="str">
        <f>VLOOKUP($A227,'IT Accessibility'!$A$13:$E$37,2,0)&amp;""</f>
        <v>Solution Provider Accessibility Contact Name</v>
      </c>
      <c r="C227" s="306" t="str">
        <f>VLOOKUP($A227,'IT Accessibility'!$A$13:$E$37,3,0)&amp;""</f>
        <v>James Cole</v>
      </c>
      <c r="D227" s="307" t="str">
        <f>IF(LEFT(VLOOKUP($A227,'IT Accessibility'!$A$13:$E$37,5,0),21)='Auto Responses'!$A$32,'Auto Responses'!$A$33,VLOOKUP($A227,'IT Accessibility'!$A$13:$E$37,4,0))&amp;""</f>
        <v/>
      </c>
      <c r="E227" s="334" t="str">
        <f>VLOOKUP($A227,'IT Accessibility'!$A$13:$E$37,5,0)&amp;""</f>
        <v/>
      </c>
      <c r="F227" s="196"/>
      <c r="G227" s="31" t="str">
        <f>VLOOKUP($A227,Questions!$A$2:$X$333,21,0)&amp;""</f>
        <v>Not scored</v>
      </c>
      <c r="H227" s="186"/>
      <c r="I227" s="46" t="str">
        <f>VLOOKUP($A227,Questions!$A$2:$X$333,23,0)&amp;""</f>
        <v/>
      </c>
      <c r="J227" s="186"/>
      <c r="K227" s="49" t="b">
        <v>0</v>
      </c>
      <c r="L227" s="1"/>
    </row>
    <row r="228" spans="1:12" s="30" customFormat="1" ht="30" x14ac:dyDescent="0.2">
      <c r="A228" s="19" t="str">
        <f>'IT Accessibility'!$A$21</f>
        <v>ITAC-02</v>
      </c>
      <c r="B228" s="20" t="str">
        <f>VLOOKUP($A228,'IT Accessibility'!$A$13:$E$37,2,0)&amp;""</f>
        <v>Solution Provider Accessibility Contact Title</v>
      </c>
      <c r="C228" s="306" t="str">
        <f>VLOOKUP($A228,'IT Accessibility'!$A$13:$E$37,3,0)&amp;""</f>
        <v>NSSE Shorts Coordinator</v>
      </c>
      <c r="D228" s="307" t="str">
        <f>IF(LEFT(VLOOKUP($A228,'IT Accessibility'!$A$13:$E$37,5,0),21)='Auto Responses'!$A$32,'Auto Responses'!$A$33,VLOOKUP($A228,'IT Accessibility'!$A$13:$E$37,4,0))&amp;""</f>
        <v/>
      </c>
      <c r="E228" s="334" t="str">
        <f>VLOOKUP($A228,'IT Accessibility'!$A$13:$E$37,5,0)&amp;""</f>
        <v/>
      </c>
      <c r="F228" s="196"/>
      <c r="G228" s="31" t="str">
        <f>VLOOKUP($A228,Questions!$A$2:$X$333,21,0)&amp;""</f>
        <v>Not scored</v>
      </c>
      <c r="H228" s="186"/>
      <c r="I228" s="46" t="str">
        <f>VLOOKUP($A228,Questions!$A$2:$X$333,23,0)&amp;""</f>
        <v/>
      </c>
      <c r="J228" s="186"/>
      <c r="K228" s="49" t="b">
        <v>0</v>
      </c>
      <c r="L228" s="1"/>
    </row>
    <row r="229" spans="1:12" s="30" customFormat="1" ht="15" x14ac:dyDescent="0.2">
      <c r="A229" s="19" t="str">
        <f>'IT Accessibility'!$A$22</f>
        <v>ITAC-03</v>
      </c>
      <c r="B229" s="20" t="str">
        <f>VLOOKUP($A229,'IT Accessibility'!$A$13:$E$37,2,0)&amp;""</f>
        <v>Solution Provider Accessibility Contact Email</v>
      </c>
      <c r="C229" s="306" t="str">
        <f>VLOOKUP($A229,'IT Accessibility'!$A$13:$E$37,3,0)&amp;""</f>
        <v>nsseshrt@iu.edu</v>
      </c>
      <c r="D229" s="307" t="str">
        <f>IF(LEFT(VLOOKUP($A229,'IT Accessibility'!$A$13:$E$37,5,0),21)='Auto Responses'!$A$32,'Auto Responses'!$A$33,VLOOKUP($A229,'IT Accessibility'!$A$13:$E$37,4,0))&amp;""</f>
        <v/>
      </c>
      <c r="E229" s="334" t="str">
        <f>VLOOKUP($A229,'IT Accessibility'!$A$13:$E$37,5,0)&amp;""</f>
        <v/>
      </c>
      <c r="F229" s="196"/>
      <c r="G229" s="31" t="str">
        <f>VLOOKUP($A229,Questions!$A$2:$X$333,21,0)&amp;""</f>
        <v>Not scored</v>
      </c>
      <c r="H229" s="186"/>
      <c r="I229" s="46" t="str">
        <f>VLOOKUP($A229,Questions!$A$2:$X$333,23,0)&amp;""</f>
        <v/>
      </c>
      <c r="J229" s="186"/>
      <c r="K229" s="49" t="b">
        <v>0</v>
      </c>
      <c r="L229" s="1"/>
    </row>
    <row r="230" spans="1:12" s="30" customFormat="1" ht="15" x14ac:dyDescent="0.2">
      <c r="A230" s="19" t="str">
        <f>'IT Accessibility'!$A$23</f>
        <v>ITAC-04</v>
      </c>
      <c r="B230" s="20" t="str">
        <f>VLOOKUP($A230,'IT Accessibility'!$A$13:$E$37,2,0)&amp;""</f>
        <v>Solution Provider Accessibility Contact Phone Number</v>
      </c>
      <c r="C230" s="306" t="str">
        <f>VLOOKUP($A230,'IT Accessibility'!$A$13:$E$37,3,0)&amp;""</f>
        <v>812-856-5824</v>
      </c>
      <c r="D230" s="307" t="str">
        <f>IF(LEFT(VLOOKUP($A230,'IT Accessibility'!$A$13:$E$37,5,0),21)='Auto Responses'!$A$32,'Auto Responses'!$A$33,VLOOKUP($A230,'IT Accessibility'!$A$13:$E$37,4,0))&amp;""</f>
        <v/>
      </c>
      <c r="E230" s="334" t="str">
        <f>VLOOKUP($A230,'IT Accessibility'!$A$13:$E$37,5,0)&amp;""</f>
        <v/>
      </c>
      <c r="F230" s="196"/>
      <c r="G230" s="31" t="str">
        <f>VLOOKUP($A230,Questions!$A$2:$X$333,21,0)&amp;""</f>
        <v>Not scored</v>
      </c>
      <c r="H230" s="186"/>
      <c r="I230" s="46" t="str">
        <f>VLOOKUP($A230,Questions!$A$2:$X$333,23,0)&amp;""</f>
        <v/>
      </c>
      <c r="J230" s="186"/>
      <c r="K230" s="49" t="b">
        <v>0</v>
      </c>
      <c r="L230" s="1"/>
    </row>
    <row r="231" spans="1:12" s="30" customFormat="1" ht="90" x14ac:dyDescent="0.2">
      <c r="A231" s="19" t="str">
        <f>'IT Accessibility'!$A$24</f>
        <v>ITAC-05</v>
      </c>
      <c r="B231" s="20" t="str">
        <f>VLOOKUP($A231,'IT Accessibility'!$A$13:$E$37,2,0)&amp;""</f>
        <v>Web Link to Accessibility Statement or VPAT</v>
      </c>
      <c r="C231" s="306" t="str">
        <f>VLOOKUP($A231,'IT Accessibility'!$A$13:$E$37,3,0)&amp;""</f>
        <v>https://www.qualtrics.com/commitment-to-accessibility/</v>
      </c>
      <c r="D231" s="307" t="str">
        <f>IF(LEFT(VLOOKUP($A231,'IT Accessibility'!$A$13:$E$37,5,0),21)='Auto Responses'!$A$32,'Auto Responses'!$A$33,VLOOKUP($A231,'IT Accessibility'!$A$13:$E$37,4,0))&amp;""</f>
        <v>NSSE Shorts VPAT: https://nsse.indiana.edu/nsse/nsse-shorts/NSSE-Shorts-Administration-Instructions.html</v>
      </c>
      <c r="E231" s="334" t="str">
        <f>VLOOKUP($A231,'IT Accessibility'!$A$13:$E$37,5,0)&amp;""</f>
        <v>VPAT can also be added as an attachment</v>
      </c>
      <c r="F231" s="196"/>
      <c r="G231" s="31" t="str">
        <f>VLOOKUP($A231,Questions!$A$2:$X$333,21,0)&amp;""</f>
        <v>Not scored</v>
      </c>
      <c r="H231" s="186"/>
      <c r="I231" s="46" t="str">
        <f>VLOOKUP($A231,Questions!$A$2:$X$333,23,0)&amp;""</f>
        <v/>
      </c>
      <c r="J231" s="186"/>
      <c r="K231" s="49" t="b">
        <v>0</v>
      </c>
      <c r="L231" s="1"/>
    </row>
    <row r="232" spans="1:12" s="30" customFormat="1" ht="195" x14ac:dyDescent="0.2">
      <c r="A232" s="19" t="str">
        <f>'IT Accessibility'!$A$25</f>
        <v>ITAC-06</v>
      </c>
      <c r="B232" s="20" t="str">
        <f>VLOOKUP($A232,'IT Accessibility'!$A$13:$E$37,2,0)&amp;""</f>
        <v>Has a VPAT or ACR been created or updated for the solution and version under consideration within the past 12 months?*</v>
      </c>
      <c r="C232" s="46" t="str">
        <f>VLOOKUP($A232,'IT Accessibility'!$A$13:$E$37,3,0)&amp;""</f>
        <v>Yes</v>
      </c>
      <c r="D232" s="35" t="str">
        <f>IF(LEFT(VLOOKUP($A232,'IT Accessibility'!$A$13:$E$37,5,0),21)='Auto Responses'!$A$32,'Auto Responses'!$A$33,VLOOKUP($A232,'IT Accessibility'!$A$13:$E$37,4,0))&amp;""</f>
        <v>Details of our approach are available here - https://www.qualtrics.com/commitment-to-accessibility/
NSSE Shorts VPAT: https://nsse.indiana.edu/nsse/nsse-shorts/NSSE-Shorts-Administration-Instructions.html</v>
      </c>
      <c r="E232" s="334" t="str">
        <f>VLOOKUP($A232,'IT Accessibility'!$A$13:$E$37,5,0)&amp;""</f>
        <v>State the date the VPAT was completed. Include this VPAT in your submission and/or link to its web location.</v>
      </c>
      <c r="F232" s="196"/>
      <c r="G232" s="31" t="str">
        <f>VLOOKUP($A232,Questions!$A$2:$X$333,21,0)&amp;""</f>
        <v>Yes</v>
      </c>
      <c r="H232" s="186"/>
      <c r="I232" s="46" t="str">
        <f>VLOOKUP($A232,Questions!$A$2:$X$333,23,0)&amp;""</f>
        <v>Critical Importance</v>
      </c>
      <c r="J232" s="186"/>
      <c r="K232" s="49" t="b">
        <v>0</v>
      </c>
      <c r="L232" s="1"/>
    </row>
    <row r="233" spans="1:12" s="30" customFormat="1" ht="150" x14ac:dyDescent="0.2">
      <c r="A233" s="19" t="str">
        <f>'IT Accessibility'!$A$26</f>
        <v>ITAC-07</v>
      </c>
      <c r="B233" s="20" t="str">
        <f>VLOOKUP($A233,'IT Accessibility'!$A$13:$E$37,2,0)&amp;""</f>
        <v>Will your company agree to meet your stated accessibility standard or WCAG 2.1 AA as part of your contractual agreement for the solution?*</v>
      </c>
      <c r="C233" s="46" t="str">
        <f>VLOOKUP($A233,'IT Accessibility'!$A$13:$E$37,3,0)&amp;""</f>
        <v>No</v>
      </c>
      <c r="D233" s="35" t="str">
        <f>IF(LEFT(VLOOKUP($A233,'IT Accessibility'!$A$13:$E$37,5,0),21)='Auto Responses'!$A$32,'Auto Responses'!$A$33,VLOOKUP($A233,'IT Accessibility'!$A$13:$E$37,4,0))&amp;""</f>
        <v>NSSE Shorts will make every effort to comply with WCAG 2.1 AA standards. See Qualtrics HECVAT 2025 for more details: https://bcsse.iu.edu/doc/bcsse/Qualtrics%20HECVAT%202025.xlsx</v>
      </c>
      <c r="E233" s="334" t="str">
        <f>VLOOKUP($A233,'IT Accessibility'!$A$13:$E$37,5,0)&amp;""</f>
        <v/>
      </c>
      <c r="F233" s="196"/>
      <c r="G233" s="31" t="str">
        <f>VLOOKUP($A233,Questions!$A$2:$X$333,21,0)&amp;""</f>
        <v>Yes</v>
      </c>
      <c r="H233" s="186"/>
      <c r="I233" s="46" t="str">
        <f>VLOOKUP($A233,Questions!$A$2:$X$333,23,0)&amp;""</f>
        <v>Critical Importance</v>
      </c>
      <c r="J233" s="186"/>
      <c r="K233" s="49" t="b">
        <v>0</v>
      </c>
      <c r="L233" s="1"/>
    </row>
    <row r="234" spans="1:12" s="30" customFormat="1" ht="300" x14ac:dyDescent="0.2">
      <c r="A234" s="19" t="str">
        <f>'IT Accessibility'!$A$27</f>
        <v>ITAC-08</v>
      </c>
      <c r="B234" s="20" t="str">
        <f>VLOOKUP($A234,'IT Accessibility'!$A$13:$E$37,2,0)&amp;""</f>
        <v>Does the solution substantially conform to WCAG 2.1 AA?*</v>
      </c>
      <c r="C234" s="46" t="str">
        <f>VLOOKUP($A234,'IT Accessibility'!$A$13:$E$37,3,0)&amp;""</f>
        <v>Yes</v>
      </c>
      <c r="D234" s="35" t="str">
        <f>IF(LEFT(VLOOKUP($A234,'IT Accessibility'!$A$13:$E$37,5,0),21)='Auto Responses'!$A$32,'Auto Responses'!$A$33,VLOOKUP($A234,'IT Accessibility'!$A$13:$E$37,4,0))&amp;""</f>
        <v>NSSE Shorts will make every effort to comply with WCAG 2.1 AA standards. See Qualtrics https://www.qualtrics.com/commitment-to-accessibility/</v>
      </c>
      <c r="E234" s="334"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6"/>
      <c r="G234" s="31" t="str">
        <f>VLOOKUP($A234,Questions!$A$2:$X$333,21,0)&amp;""</f>
        <v>Yes</v>
      </c>
      <c r="H234" s="186"/>
      <c r="I234" s="46" t="str">
        <f>VLOOKUP($A234,Questions!$A$2:$X$333,23,0)&amp;""</f>
        <v>Critical Importance</v>
      </c>
      <c r="J234" s="186"/>
      <c r="K234" s="49" t="b">
        <v>0</v>
      </c>
      <c r="L234" s="1"/>
    </row>
    <row r="235" spans="1:12" s="30" customFormat="1" ht="75" x14ac:dyDescent="0.2">
      <c r="A235" s="19" t="str">
        <f>'IT Accessibility'!$A$28</f>
        <v>ITAC-09</v>
      </c>
      <c r="B235" s="20" t="str">
        <f>VLOOKUP($A235,'IT Accessibility'!$A$13:$E$37,2,0)&amp;""</f>
        <v>Do you have a documented and implemented process for reporting and tracking accessibility issues?*</v>
      </c>
      <c r="C235" s="46" t="str">
        <f>VLOOKUP($A235,'IT Accessibility'!$A$13:$E$37,3,0)&amp;""</f>
        <v>Yes</v>
      </c>
      <c r="D235" s="35" t="str">
        <f>IF(LEFT(VLOOKUP($A235,'IT Accessibility'!$A$13:$E$37,5,0),21)='Auto Responses'!$A$32,'Auto Responses'!$A$33,VLOOKUP($A235,'IT Accessibility'!$A$13:$E$37,4,0))&amp;""</f>
        <v/>
      </c>
      <c r="E235" s="334" t="str">
        <f>VLOOKUP($A235,'IT Accessibility'!$A$13:$E$37,5,0)&amp;""</f>
        <v>Describe the process and any recent examples of fixes as a result of the process.</v>
      </c>
      <c r="F235" s="196"/>
      <c r="G235" s="31" t="str">
        <f>VLOOKUP($A235,Questions!$A$2:$X$333,21,0)&amp;""</f>
        <v>Yes</v>
      </c>
      <c r="H235" s="186"/>
      <c r="I235" s="46" t="str">
        <f>VLOOKUP($A235,Questions!$A$2:$X$333,23,0)&amp;""</f>
        <v>Critical Importance</v>
      </c>
      <c r="J235" s="186"/>
      <c r="K235" s="49" t="b">
        <v>0</v>
      </c>
      <c r="L235" s="1"/>
    </row>
    <row r="236" spans="1:12" s="30" customFormat="1" ht="90" x14ac:dyDescent="0.2">
      <c r="A236" s="19" t="str">
        <f>'IT Accessibility'!$A$29</f>
        <v>ITAC-10</v>
      </c>
      <c r="B236" s="20" t="str">
        <f>VLOOKUP($A236,'IT Accessibility'!$A$13:$E$37,2,0)&amp;""</f>
        <v>Do you have documentation to support the accessibility features of your solution?</v>
      </c>
      <c r="C236" s="46" t="str">
        <f>VLOOKUP($A236,'IT Accessibility'!$A$13:$E$37,3,0)&amp;""</f>
        <v>Yes</v>
      </c>
      <c r="D236" s="35" t="str">
        <f>IF(LEFT(VLOOKUP($A236,'IT Accessibility'!$A$13:$E$37,5,0),21)='Auto Responses'!$A$32,'Auto Responses'!$A$33,VLOOKUP($A236,'IT Accessibility'!$A$13:$E$37,4,0))&amp;""</f>
        <v>See Qualtrics HECVAT 2025 for more details: https://bcsse.iu.edu/doc/bcsse/Qualtrics%20HECVAT%202025.xlsx</v>
      </c>
      <c r="E236" s="334" t="str">
        <f>VLOOKUP($A236,'IT Accessibility'!$A$13:$E$37,5,0)&amp;""</f>
        <v>Provide examples with links where possible.</v>
      </c>
      <c r="F236" s="196"/>
      <c r="G236" s="31" t="str">
        <f>VLOOKUP($A236,Questions!$A$2:$X$333,21,0)&amp;""</f>
        <v>Yes</v>
      </c>
      <c r="H236" s="186"/>
      <c r="I236" s="46" t="str">
        <f>VLOOKUP($A236,Questions!$A$2:$X$333,23,0)&amp;""</f>
        <v>Standard Importance</v>
      </c>
      <c r="J236" s="186"/>
      <c r="K236" s="49" t="b">
        <v>0</v>
      </c>
      <c r="L236" s="1"/>
    </row>
    <row r="237" spans="1:12" s="30" customFormat="1" ht="120" x14ac:dyDescent="0.2">
      <c r="A237" s="19" t="str">
        <f>'IT Accessibility'!$A$30</f>
        <v>ITAC-11</v>
      </c>
      <c r="B237" s="20" t="str">
        <f>VLOOKUP($A237,'IT Accessibility'!$A$13:$E$37,2,0)&amp;""</f>
        <v>Has a third-party expert conducted an audit of the most recent version of your solution?</v>
      </c>
      <c r="C237" s="46" t="str">
        <f>VLOOKUP($A237,'IT Accessibility'!$A$13:$E$37,3,0)&amp;""</f>
        <v>No</v>
      </c>
      <c r="D237" s="35" t="str">
        <f>IF(LEFT(VLOOKUP($A237,'IT Accessibility'!$A$13:$E$37,5,0),21)='Auto Responses'!$A$32,'Auto Responses'!$A$33,VLOOKUP($A237,'IT Accessibility'!$A$13:$E$37,4,0))&amp;""</f>
        <v>NSSE Shorts as a project no. See Qualtrics HECVAT 2025 for more details: https://bcsse.iu.edu/doc/bcsse/Qualtrics%20HECVAT%202025.xlsx</v>
      </c>
      <c r="E237" s="334" t="str">
        <f>VLOOKUP($A237,'IT Accessibility'!$A$13:$E$37,5,0)&amp;""</f>
        <v>Please provide plans (when and by whom) of any planned audit, or a rationale if no third-party audit is planned.</v>
      </c>
      <c r="F237" s="196"/>
      <c r="G237" s="31" t="str">
        <f>VLOOKUP($A237,Questions!$A$2:$X$333,21,0)&amp;""</f>
        <v>Yes</v>
      </c>
      <c r="H237" s="186"/>
      <c r="I237" s="46" t="str">
        <f>VLOOKUP($A237,Questions!$A$2:$X$333,23,0)&amp;""</f>
        <v>Standard Importance</v>
      </c>
      <c r="J237" s="186"/>
      <c r="K237" s="49" t="b">
        <v>0</v>
      </c>
      <c r="L237" s="1"/>
    </row>
    <row r="238" spans="1:12" s="30" customFormat="1" ht="135" x14ac:dyDescent="0.2">
      <c r="A238" s="19" t="str">
        <f>'IT Accessibility'!$A$31</f>
        <v>ITAC-12</v>
      </c>
      <c r="B238" s="20" t="str">
        <f>VLOOKUP($A238,'IT Accessibility'!$A$13:$E$37,2,0)&amp;""</f>
        <v>Do you have a documented and implemented process for verifying accessibility conformance?</v>
      </c>
      <c r="C238" s="46" t="str">
        <f>VLOOKUP($A238,'IT Accessibility'!$A$13:$E$37,3,0)&amp;""</f>
        <v>Yes</v>
      </c>
      <c r="D238" s="35" t="str">
        <f>IF(LEFT(VLOOKUP($A238,'IT Accessibility'!$A$13:$E$37,5,0),21)='Auto Responses'!$A$32,'Auto Responses'!$A$33,VLOOKUP($A238,'IT Accessibility'!$A$13:$E$37,4,0))&amp;""</f>
        <v>NSSE Shorts survey is reviewed for WCAG 2.1 AA compliance. See Qualtrics HECVAT 2025 for more details: https://bcsse.iu.edu/doc/bcsse/Qualtrics%20HECVAT%202025.xlsx</v>
      </c>
      <c r="E238" s="334" t="str">
        <f>VLOOKUP($A238,'IT Accessibility'!$A$13:$E$37,5,0)&amp;""</f>
        <v>Describe your processes and methodologies for validating accessibility conformance.</v>
      </c>
      <c r="F238" s="196"/>
      <c r="G238" s="31" t="str">
        <f>VLOOKUP($A238,Questions!$A$2:$X$333,21,0)&amp;""</f>
        <v>Yes</v>
      </c>
      <c r="H238" s="186"/>
      <c r="I238" s="46" t="str">
        <f>VLOOKUP($A238,Questions!$A$2:$X$333,23,0)&amp;""</f>
        <v>Standard Importance</v>
      </c>
      <c r="J238" s="186"/>
      <c r="K238" s="49" t="b">
        <v>0</v>
      </c>
      <c r="L238" s="1"/>
    </row>
    <row r="239" spans="1:12" s="30" customFormat="1" ht="120" x14ac:dyDescent="0.2">
      <c r="A239" s="19" t="str">
        <f>'IT Accessibility'!$A$32</f>
        <v>ITAC-13</v>
      </c>
      <c r="B239" s="20" t="str">
        <f>VLOOKUP($A239,'IT Accessibility'!$A$13:$E$37,2,0)&amp;""</f>
        <v>Have you adopted a technical or legal standard of conformance for the solution?</v>
      </c>
      <c r="C239" s="46" t="str">
        <f>VLOOKUP($A239,'IT Accessibility'!$A$13:$E$37,3,0)&amp;""</f>
        <v>No</v>
      </c>
      <c r="D239" s="35" t="str">
        <f>IF(LEFT(VLOOKUP($A239,'IT Accessibility'!$A$13:$E$37,5,0),21)='Auto Responses'!$A$32,'Auto Responses'!$A$33,VLOOKUP($A239,'IT Accessibility'!$A$13:$E$37,4,0))&amp;""</f>
        <v>NSSE Shorts as a project no. See Qualtrics HECVAT 2025 for more details: https://bcsse.iu.edu/doc/bcsse/Qualtrics%20HECVAT%202025.xlsx</v>
      </c>
      <c r="E239" s="334" t="str">
        <f>VLOOKUP($A239,'IT Accessibility'!$A$13:$E$37,5,0)&amp;""</f>
        <v>Summarize your decision to not adopt a technical or legal standard of conformance for the solution.</v>
      </c>
      <c r="F239" s="196"/>
      <c r="G239" s="31" t="str">
        <f>VLOOKUP($A239,Questions!$A$2:$X$333,21,0)&amp;""</f>
        <v>Yes</v>
      </c>
      <c r="H239" s="186"/>
      <c r="I239" s="46" t="str">
        <f>VLOOKUP($A239,Questions!$A$2:$X$333,23,0)&amp;""</f>
        <v>Standard Importance</v>
      </c>
      <c r="J239" s="186"/>
      <c r="K239" s="49" t="b">
        <v>0</v>
      </c>
      <c r="L239" s="1"/>
    </row>
    <row r="240" spans="1:12" s="30" customFormat="1" ht="120" x14ac:dyDescent="0.2">
      <c r="A240" s="19" t="str">
        <f>'IT Accessibility'!$A$33</f>
        <v>ITAC-14</v>
      </c>
      <c r="B240" s="20" t="str">
        <f>VLOOKUP($A240,'IT Accessibility'!$A$13:$E$37,2,0)&amp;""</f>
        <v>Can you provide a current, detailed accessibility roadmap with delivery timelines?</v>
      </c>
      <c r="C240" s="46" t="str">
        <f>VLOOKUP($A240,'IT Accessibility'!$A$13:$E$37,3,0)&amp;""</f>
        <v>No</v>
      </c>
      <c r="D240" s="35" t="str">
        <f>IF(LEFT(VLOOKUP($A240,'IT Accessibility'!$A$13:$E$37,5,0),21)='Auto Responses'!$A$32,'Auto Responses'!$A$33,VLOOKUP($A240,'IT Accessibility'!$A$13:$E$37,4,0))&amp;""</f>
        <v>NSSE Shorts as a project no. See Qualtrics HECVAT 2025 for more details: https://bcsse.iu.edu/doc/bcsse/Qualtrics%20HECVAT%202025.xlsx</v>
      </c>
      <c r="E240" s="334" t="str">
        <f>VLOOKUP($A240,'IT Accessibility'!$A$13:$E$37,5,0)&amp;""</f>
        <v>Please provide any plans to develop and share an accessibility roadmap in the future.</v>
      </c>
      <c r="F240" s="196"/>
      <c r="G240" s="31" t="str">
        <f>VLOOKUP($A240,Questions!$A$2:$X$333,21,0)&amp;""</f>
        <v>Yes</v>
      </c>
      <c r="H240" s="186"/>
      <c r="I240" s="46" t="str">
        <f>VLOOKUP($A240,Questions!$A$2:$X$333,23,0)&amp;""</f>
        <v>Standard Importance</v>
      </c>
      <c r="J240" s="186"/>
      <c r="K240" s="49" t="b">
        <v>0</v>
      </c>
      <c r="L240" s="1"/>
    </row>
    <row r="241" spans="1:12" s="30" customFormat="1" ht="120" x14ac:dyDescent="0.2">
      <c r="A241" s="19" t="str">
        <f>'IT Accessibility'!$A$34</f>
        <v>ITAC-15</v>
      </c>
      <c r="B241" s="20" t="str">
        <f>VLOOKUP($A241,'IT Accessibility'!$A$13:$E$37,2,0)&amp;""</f>
        <v>Do you expect your staff to maintain a current skill set in IT accessibility?</v>
      </c>
      <c r="C241" s="46" t="str">
        <f>VLOOKUP($A241,'IT Accessibility'!$A$13:$E$37,3,0)&amp;""</f>
        <v>No</v>
      </c>
      <c r="D241" s="35" t="str">
        <f>IF(LEFT(VLOOKUP($A241,'IT Accessibility'!$A$13:$E$37,5,0),21)='Auto Responses'!$A$32,'Auto Responses'!$A$33,VLOOKUP($A241,'IT Accessibility'!$A$13:$E$37,4,0))&amp;""</f>
        <v>NSSE Shorts as a project no. See Qualtrics HECVAT 2025 for more details: https://bcsse.iu.edu/doc/bcsse/Qualtrics%20HECVAT%202025.xlsx</v>
      </c>
      <c r="E241" s="334" t="str">
        <f>VLOOKUP($A241,'IT Accessibility'!$A$13:$E$37,5,0)&amp;""</f>
        <v>Describe any plans to ensure appropriate and ongoing staff knowledge about accessibility.</v>
      </c>
      <c r="F241" s="196"/>
      <c r="G241" s="31" t="str">
        <f>VLOOKUP($A241,Questions!$A$2:$X$333,21,0)&amp;""</f>
        <v>Yes</v>
      </c>
      <c r="H241" s="186"/>
      <c r="I241" s="46" t="str">
        <f>VLOOKUP($A241,Questions!$A$2:$X$333,23,0)&amp;""</f>
        <v>Standard Importance</v>
      </c>
      <c r="J241" s="186"/>
      <c r="K241" s="49" t="b">
        <v>0</v>
      </c>
      <c r="L241" s="1"/>
    </row>
    <row r="242" spans="1:12" s="30" customFormat="1" ht="135" x14ac:dyDescent="0.2">
      <c r="A242" s="19" t="str">
        <f>'IT Accessibility'!$A$35</f>
        <v>ITAC-16</v>
      </c>
      <c r="B242" s="20" t="str">
        <f>VLOOKUP($A242,'IT Accessibility'!$A$13:$E$37,2,0)&amp;""</f>
        <v>Do you have documented processes and procedures for implementing accessibility into your development lifecycle?</v>
      </c>
      <c r="C242" s="46" t="str">
        <f>VLOOKUP($A242,'IT Accessibility'!$A$13:$E$37,3,0)&amp;""</f>
        <v>Yes</v>
      </c>
      <c r="D242" s="35" t="str">
        <f>IF(LEFT(VLOOKUP($A242,'IT Accessibility'!$A$13:$E$37,5,0),21)='Auto Responses'!$A$32,'Auto Responses'!$A$33,VLOOKUP($A242,'IT Accessibility'!$A$13:$E$37,4,0))&amp;""</f>
        <v>NSSE Shorts survey is reviewed for WCAG 2.1 AA compliance. See Qualtrics HECVAT 2025 for more details: https://bcsse.iu.edu/doc/bcsse/Qualtrics%20HECVAT%202025.xlsx</v>
      </c>
      <c r="E242" s="334" t="str">
        <f>VLOOKUP($A242,'IT Accessibility'!$A$13:$E$37,5,0)&amp;""</f>
        <v>Provide further details in Additional Information.</v>
      </c>
      <c r="F242" s="196"/>
      <c r="G242" s="31" t="str">
        <f>VLOOKUP($A242,Questions!$A$2:$X$333,21,0)&amp;""</f>
        <v>Yes</v>
      </c>
      <c r="H242" s="186"/>
      <c r="I242" s="46" t="str">
        <f>VLOOKUP($A242,Questions!$A$2:$X$333,23,0)&amp;""</f>
        <v>Standard Importance</v>
      </c>
      <c r="J242" s="186"/>
      <c r="K242" s="49" t="b">
        <v>0</v>
      </c>
      <c r="L242" s="1"/>
    </row>
    <row r="243" spans="1:12" s="30" customFormat="1" ht="135" x14ac:dyDescent="0.2">
      <c r="A243" s="19" t="str">
        <f>'IT Accessibility'!$A$36</f>
        <v>ITAC-17</v>
      </c>
      <c r="B243" s="20" t="str">
        <f>VLOOKUP($A243,'IT Accessibility'!$A$13:$E$37,2,0)&amp;""</f>
        <v>Can all functions of the application or service be performed using only the keyboard?</v>
      </c>
      <c r="C243" s="46" t="str">
        <f>VLOOKUP($A243,'IT Accessibility'!$A$13:$E$37,3,0)&amp;""</f>
        <v>No</v>
      </c>
      <c r="D243" s="35" t="str">
        <f>IF(LEFT(VLOOKUP($A243,'IT Accessibility'!$A$13:$E$37,5,0),21)='Auto Responses'!$A$32,'Auto Responses'!$A$33,VLOOKUP($A243,'IT Accessibility'!$A$13:$E$37,4,0))&amp;""</f>
        <v>NSSE Shorts survey is reviewed for WCAG 2.1 AA compliance. See Qualtrics HECVAT 2025 for more details: https://bcsse.iu.edu/doc/bcsse/Qualtrics%20HECVAT%202025.xlsx</v>
      </c>
      <c r="E243" s="334" t="str">
        <f>VLOOKUP($A243,'IT Accessibility'!$A$13:$E$37,5,0)&amp;""</f>
        <v>Indicate a plan to test the solution; develop a roadmap for keyboard accessibility or any further context.</v>
      </c>
      <c r="F243" s="196"/>
      <c r="G243" s="31" t="str">
        <f>VLOOKUP($A243,Questions!$A$2:$X$333,21,0)&amp;""</f>
        <v>Yes</v>
      </c>
      <c r="H243" s="186"/>
      <c r="I243" s="46" t="str">
        <f>VLOOKUP($A243,Questions!$A$2:$X$333,23,0)&amp;""</f>
        <v>Standard Importance</v>
      </c>
      <c r="J243" s="186"/>
      <c r="K243" s="49" t="b">
        <v>0</v>
      </c>
      <c r="L243" s="1"/>
    </row>
    <row r="244" spans="1:12" s="30" customFormat="1" ht="255.75" thickBot="1" x14ac:dyDescent="0.25">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6" t="str">
        <f>VLOOKUP($A244,'IT Accessibility'!$A$13:$E$37,3,0)&amp;""</f>
        <v>No</v>
      </c>
      <c r="D244" s="35" t="str">
        <f>IF(LEFT(VLOOKUP($A244,'IT Accessibility'!$A$13:$E$37,5,0),21)='Auto Responses'!$A$32,'Auto Responses'!$A$33,VLOOKUP($A244,'IT Accessibility'!$A$13:$E$37,4,0))&amp;""</f>
        <v/>
      </c>
      <c r="E244" s="334"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6"/>
      <c r="G244" s="31" t="str">
        <f>VLOOKUP($A244,Questions!$A$2:$X$333,21,0)&amp;""</f>
        <v>No</v>
      </c>
      <c r="H244" s="186"/>
      <c r="I244" s="46" t="str">
        <f>VLOOKUP($A244,Questions!$A$2:$X$333,23,0)&amp;""</f>
        <v>Standard Importance</v>
      </c>
      <c r="J244" s="186"/>
      <c r="K244" s="50" t="b">
        <v>0</v>
      </c>
      <c r="L244" s="1"/>
    </row>
    <row r="245" spans="1:12" s="1" customFormat="1" ht="18" x14ac:dyDescent="0.2">
      <c r="A245" s="64" t="str">
        <f>VLOOKUP(LEFT($A246,4),'Auto Responses'!$N$4:$O$38,2,0)&amp;""</f>
        <v xml:space="preserve"> Consulting Services</v>
      </c>
      <c r="B245" s="23"/>
      <c r="C245" s="32"/>
      <c r="D245" s="32"/>
      <c r="E245" s="332"/>
      <c r="F245" s="133" t="s">
        <v>1066</v>
      </c>
      <c r="G245" s="336" t="s">
        <v>904</v>
      </c>
      <c r="H245" s="336" t="s">
        <v>906</v>
      </c>
      <c r="I245" s="336" t="s">
        <v>19</v>
      </c>
      <c r="J245" s="336" t="s">
        <v>891</v>
      </c>
      <c r="K245" s="32"/>
    </row>
    <row r="246" spans="1:12" s="30" customFormat="1" ht="90" x14ac:dyDescent="0.2">
      <c r="A246" s="19" t="str">
        <f>'Case-Specific'!$A$23</f>
        <v>CONS-01</v>
      </c>
      <c r="B246" s="20" t="str">
        <f>VLOOKUP($A246,'Case-Specific'!$A$13:$E$85,2,0)&amp;""</f>
        <v>Will the consultant require access to the institution's network resources?*</v>
      </c>
      <c r="C246" s="46" t="str">
        <f>VLOOKUP($A246,'Case-Specific'!$A$13:$E$85,3,0)&amp;""</f>
        <v/>
      </c>
      <c r="D246" s="35" t="str">
        <f>IF(LEFT(VLOOKUP($A246,'Case-Specific'!$A$13:$E$85,5,0),21)='Auto Responses'!$A$32,'Auto Responses'!$A$33,VLOOKUP($A246,'Case-Specific'!$A$13:$E$85,4,0))&amp;""</f>
        <v>This question does not apply.</v>
      </c>
      <c r="E246" s="331" t="str">
        <f>VLOOKUP($A246,'Case-Specific'!$A$13:$E$85,5,0)&amp;""</f>
        <v>Based on the response to REQU-03 on the "START HERE" tab, this question does not apply to this product or service.</v>
      </c>
      <c r="F246" s="196"/>
      <c r="G246" s="31" t="str">
        <f>VLOOKUP($A246,Questions!$A$2:$X$333,21,0)&amp;""</f>
        <v>No</v>
      </c>
      <c r="H246" s="186"/>
      <c r="I246" s="46" t="str">
        <f>VLOOKUP($A246,Questions!$A$2:$X$333,23,0)&amp;""</f>
        <v>Critical Importance</v>
      </c>
      <c r="J246" s="186"/>
      <c r="K246" s="49" t="b">
        <v>0</v>
      </c>
      <c r="L246" s="1"/>
    </row>
    <row r="247" spans="1:12" s="30" customFormat="1" ht="90" x14ac:dyDescent="0.2">
      <c r="A247" s="19" t="str">
        <f>'Case-Specific'!$A$24</f>
        <v>CONS-02</v>
      </c>
      <c r="B247" s="20" t="str">
        <f>VLOOKUP($A247,'Case-Specific'!$A$13:$E$85,2,0)&amp;""</f>
        <v>Has the consultant received training on (sensitive, HIPAA, PCI, etc.) data handling?*</v>
      </c>
      <c r="C247" s="46" t="str">
        <f>VLOOKUP($A247,'Case-Specific'!$A$13:$E$85,3,0)&amp;""</f>
        <v/>
      </c>
      <c r="D247" s="35" t="str">
        <f>IF(LEFT(VLOOKUP($A247,'Case-Specific'!$A$13:$E$85,5,0),21)='Auto Responses'!$A$32,'Auto Responses'!$A$33,VLOOKUP($A247,'Case-Specific'!$A$13:$E$85,4,0))&amp;""</f>
        <v>This question does not apply.</v>
      </c>
      <c r="E247" s="331" t="str">
        <f>VLOOKUP($A247,'Case-Specific'!$A$13:$E$85,5,0)&amp;""</f>
        <v>Based on the response to REQU-03 on the "START HERE" tab, this question does not apply to this product or service.</v>
      </c>
      <c r="F247" s="196"/>
      <c r="G247" s="31" t="str">
        <f>VLOOKUP($A247,Questions!$A$2:$X$333,21,0)&amp;""</f>
        <v>Yes</v>
      </c>
      <c r="H247" s="186"/>
      <c r="I247" s="46" t="str">
        <f>VLOOKUP($A247,Questions!$A$2:$X$333,23,0)&amp;""</f>
        <v>Critical Importance</v>
      </c>
      <c r="J247" s="186"/>
      <c r="K247" s="49" t="b">
        <v>0</v>
      </c>
      <c r="L247" s="1"/>
    </row>
    <row r="248" spans="1:12" s="30" customFormat="1" ht="90" x14ac:dyDescent="0.2">
      <c r="A248" s="19" t="str">
        <f>'Case-Specific'!$A$25</f>
        <v>CONS-03</v>
      </c>
      <c r="B248" s="20" t="str">
        <f>VLOOKUP($A248,'Case-Specific'!$A$13:$E$85,2,0)&amp;""</f>
        <v>Is the data encrypted (at rest) while in the consultant's possession?*</v>
      </c>
      <c r="C248" s="46" t="str">
        <f>VLOOKUP($A248,'Case-Specific'!$A$13:$E$85,3,0)&amp;""</f>
        <v/>
      </c>
      <c r="D248" s="35" t="str">
        <f>IF(LEFT(VLOOKUP($A248,'Case-Specific'!$A$13:$E$85,5,0),21)='Auto Responses'!$A$32,'Auto Responses'!$A$33,VLOOKUP($A248,'Case-Specific'!$A$13:$E$85,4,0))&amp;""</f>
        <v>This question does not apply.</v>
      </c>
      <c r="E248" s="331" t="str">
        <f>VLOOKUP($A248,'Case-Specific'!$A$13:$E$85,5,0)&amp;""</f>
        <v>Based on the response to REQU-03 on the "START HERE" tab, this question does not apply to this product or service.</v>
      </c>
      <c r="F248" s="196"/>
      <c r="G248" s="31" t="str">
        <f>VLOOKUP($A248,Questions!$A$2:$X$333,21,0)&amp;""</f>
        <v>Yes</v>
      </c>
      <c r="H248" s="186"/>
      <c r="I248" s="46" t="str">
        <f>VLOOKUP($A248,Questions!$A$2:$X$333,23,0)&amp;""</f>
        <v>Critical Importance</v>
      </c>
      <c r="J248" s="186"/>
      <c r="K248" s="49" t="b">
        <v>0</v>
      </c>
      <c r="L248" s="1"/>
    </row>
    <row r="249" spans="1:12" s="30" customFormat="1" ht="90" x14ac:dyDescent="0.2">
      <c r="A249" s="19" t="str">
        <f>'Case-Specific'!A25</f>
        <v>CONS-03</v>
      </c>
      <c r="B249" s="20" t="str">
        <f>VLOOKUP($A249,'Case-Specific'!$A$13:$E$85,2,0)&amp;""</f>
        <v>Is the data encrypted (at rest) while in the consultant's possession?*</v>
      </c>
      <c r="C249" s="46" t="str">
        <f>VLOOKUP($A249,'Case-Specific'!$A$13:$E$85,3,0)&amp;""</f>
        <v/>
      </c>
      <c r="D249" s="35" t="str">
        <f>IF(LEFT(VLOOKUP($A249,'Case-Specific'!$A$13:$E$85,5,0),21)='Auto Responses'!$A$32,'Auto Responses'!$A$33,VLOOKUP($A249,'Case-Specific'!$A$13:$E$85,4,0))&amp;""</f>
        <v>This question does not apply.</v>
      </c>
      <c r="E249" s="331" t="str">
        <f>VLOOKUP($A249,'Case-Specific'!$A$13:$E$85,5,0)&amp;""</f>
        <v>Based on the response to REQU-03 on the "START HERE" tab, this question does not apply to this product or service.</v>
      </c>
      <c r="F249" s="196"/>
      <c r="G249" s="31" t="str">
        <f>VLOOKUP($A249,Questions!$A$2:$X$333,21,0)&amp;""</f>
        <v>Yes</v>
      </c>
      <c r="H249" s="186"/>
      <c r="I249" s="46" t="str">
        <f>VLOOKUP($A249,Questions!$A$2:$X$333,23,0)&amp;""</f>
        <v>Critical Importance</v>
      </c>
      <c r="J249" s="186"/>
      <c r="K249" s="49" t="b">
        <v>0</v>
      </c>
      <c r="L249" s="1"/>
    </row>
    <row r="250" spans="1:12" s="30" customFormat="1" ht="90" x14ac:dyDescent="0.2">
      <c r="A250" s="19" t="str">
        <f>'Case-Specific'!A26</f>
        <v>CONS-04</v>
      </c>
      <c r="B250" s="20" t="str">
        <f>VLOOKUP($A250,'Case-Specific'!$A$13:$E$85,2,0)&amp;""</f>
        <v>Can access be restricted based on source IP address?*</v>
      </c>
      <c r="C250" s="46" t="str">
        <f>VLOOKUP($A250,'Case-Specific'!$A$13:$E$85,3,0)&amp;""</f>
        <v/>
      </c>
      <c r="D250" s="35" t="str">
        <f>IF(LEFT(VLOOKUP($A250,'Case-Specific'!$A$13:$E$85,5,0),21)='Auto Responses'!$A$32,'Auto Responses'!$A$33,VLOOKUP($A250,'Case-Specific'!$A$13:$E$85,4,0))&amp;""</f>
        <v>This question does not apply.</v>
      </c>
      <c r="E250" s="331" t="str">
        <f>VLOOKUP($A250,'Case-Specific'!$A$13:$E$85,5,0)&amp;""</f>
        <v>Based on the response to REQU-03 on the "START HERE" tab, this question does not apply to this product or service.</v>
      </c>
      <c r="F250" s="196"/>
      <c r="G250" s="31" t="str">
        <f>VLOOKUP($A250,Questions!$A$2:$X$333,21,0)&amp;""</f>
        <v>Yes</v>
      </c>
      <c r="H250" s="186"/>
      <c r="I250" s="46" t="str">
        <f>VLOOKUP($A250,Questions!$A$2:$X$333,23,0)&amp;""</f>
        <v>Critical Importance</v>
      </c>
      <c r="J250" s="186"/>
      <c r="K250" s="49" t="b">
        <v>0</v>
      </c>
      <c r="L250" s="1"/>
    </row>
    <row r="251" spans="1:12" s="30" customFormat="1" ht="90" x14ac:dyDescent="0.2">
      <c r="A251" s="19" t="str">
        <f>'Case-Specific'!A27</f>
        <v>CONS-05</v>
      </c>
      <c r="B251" s="20" t="str">
        <f>VLOOKUP($A251,'Case-Specific'!$A$13:$E$85,2,0)&amp;""</f>
        <v>Will the consulting take place on-premises?</v>
      </c>
      <c r="C251" s="46" t="str">
        <f>VLOOKUP($A251,'Case-Specific'!$A$13:$E$85,3,0)&amp;""</f>
        <v/>
      </c>
      <c r="D251" s="35" t="str">
        <f>IF(LEFT(VLOOKUP($A251,'Case-Specific'!$A$13:$E$85,5,0),21)='Auto Responses'!$A$32,'Auto Responses'!$A$33,VLOOKUP($A251,'Case-Specific'!$A$13:$E$85,4,0))&amp;""</f>
        <v>This question does not apply.</v>
      </c>
      <c r="E251" s="331" t="str">
        <f>VLOOKUP($A251,'Case-Specific'!$A$13:$E$85,5,0)&amp;""</f>
        <v>Based on the response to REQU-03 on the "START HERE" tab, this question does not apply to this product or service.</v>
      </c>
      <c r="F251" s="196"/>
      <c r="G251" s="31" t="str">
        <f>VLOOKUP($A251,Questions!$A$2:$X$333,21,0)&amp;""</f>
        <v>No</v>
      </c>
      <c r="H251" s="186"/>
      <c r="I251" s="46" t="str">
        <f>VLOOKUP($A251,Questions!$A$2:$X$333,23,0)&amp;""</f>
        <v>Standard Importance</v>
      </c>
      <c r="J251" s="186"/>
      <c r="K251" s="49" t="b">
        <v>0</v>
      </c>
      <c r="L251" s="1"/>
    </row>
    <row r="252" spans="1:12" s="30" customFormat="1" ht="90" x14ac:dyDescent="0.2">
      <c r="A252" s="19" t="str">
        <f>'Case-Specific'!A28</f>
        <v>CONS-06</v>
      </c>
      <c r="B252" s="20" t="str">
        <f>VLOOKUP($A252,'Case-Specific'!$A$13:$E$85,2,0)&amp;""</f>
        <v>Will the consultant require access to hardware in the institution's data centers?</v>
      </c>
      <c r="C252" s="46" t="str">
        <f>VLOOKUP($A252,'Case-Specific'!$A$13:$E$85,3,0)&amp;""</f>
        <v/>
      </c>
      <c r="D252" s="35" t="str">
        <f>IF(LEFT(VLOOKUP($A252,'Case-Specific'!$A$13:$E$85,5,0),21)='Auto Responses'!$A$32,'Auto Responses'!$A$33,VLOOKUP($A252,'Case-Specific'!$A$13:$E$85,4,0))&amp;""</f>
        <v>This question does not apply.</v>
      </c>
      <c r="E252" s="331" t="str">
        <f>VLOOKUP($A252,'Case-Specific'!$A$13:$E$85,5,0)&amp;""</f>
        <v>Based on the response to REQU-03 on the "START HERE" tab, this question does not apply to this product or service.</v>
      </c>
      <c r="F252" s="196"/>
      <c r="G252" s="31" t="str">
        <f>VLOOKUP($A252,Questions!$A$2:$X$333,21,0)&amp;""</f>
        <v>No</v>
      </c>
      <c r="H252" s="186"/>
      <c r="I252" s="46" t="str">
        <f>VLOOKUP($A252,Questions!$A$2:$X$333,23,0)&amp;""</f>
        <v>Standard Importance</v>
      </c>
      <c r="J252" s="186"/>
      <c r="K252" s="49" t="b">
        <v>0</v>
      </c>
      <c r="L252" s="1"/>
    </row>
    <row r="253" spans="1:12" s="30" customFormat="1" ht="90" x14ac:dyDescent="0.2">
      <c r="A253" s="19" t="str">
        <f>'Case-Specific'!A29</f>
        <v>CONS-07</v>
      </c>
      <c r="B253" s="20" t="str">
        <f>VLOOKUP($A253,'Case-Specific'!$A$13:$E$85,2,0)&amp;""</f>
        <v>Will the consultant require an account within the institution's domain (@*.edu)?</v>
      </c>
      <c r="C253" s="46" t="str">
        <f>VLOOKUP($A253,'Case-Specific'!$A$13:$E$85,3,0)&amp;""</f>
        <v/>
      </c>
      <c r="D253" s="35" t="str">
        <f>IF(LEFT(VLOOKUP($A253,'Case-Specific'!$A$13:$E$85,5,0),21)='Auto Responses'!$A$32,'Auto Responses'!$A$33,VLOOKUP($A253,'Case-Specific'!$A$13:$E$85,4,0))&amp;""</f>
        <v>This question does not apply.</v>
      </c>
      <c r="E253" s="331" t="str">
        <f>VLOOKUP($A253,'Case-Specific'!$A$13:$E$85,5,0)&amp;""</f>
        <v>Based on the response to REQU-03 on the "START HERE" tab, this question does not apply to this product or service.</v>
      </c>
      <c r="F253" s="196"/>
      <c r="G253" s="31" t="str">
        <f>VLOOKUP($A253,Questions!$A$2:$X$333,21,0)&amp;""</f>
        <v>No</v>
      </c>
      <c r="H253" s="186"/>
      <c r="I253" s="46" t="str">
        <f>VLOOKUP($A253,Questions!$A$2:$X$333,23,0)&amp;""</f>
        <v>Standard Importance</v>
      </c>
      <c r="J253" s="186"/>
      <c r="K253" s="49" t="b">
        <v>0</v>
      </c>
      <c r="L253" s="1"/>
    </row>
    <row r="254" spans="1:12" s="30" customFormat="1" ht="90" x14ac:dyDescent="0.2">
      <c r="A254" s="19" t="str">
        <f>'Case-Specific'!A30</f>
        <v>CONS-08</v>
      </c>
      <c r="B254" s="20" t="str">
        <f>VLOOKUP($A254,'Case-Specific'!$A$13:$E$85,2,0)&amp;""</f>
        <v>Will any data be transferred to the consultant's possession?</v>
      </c>
      <c r="C254" s="46" t="str">
        <f>VLOOKUP($A254,'Case-Specific'!$A$13:$E$85,3,0)&amp;""</f>
        <v/>
      </c>
      <c r="D254" s="35" t="str">
        <f>IF(LEFT(VLOOKUP($A254,'Case-Specific'!$A$13:$E$85,5,0),21)='Auto Responses'!$A$32,'Auto Responses'!$A$33,VLOOKUP($A254,'Case-Specific'!$A$13:$E$85,4,0))&amp;""</f>
        <v>This question does not apply.</v>
      </c>
      <c r="E254" s="331" t="str">
        <f>VLOOKUP($A254,'Case-Specific'!$A$13:$E$85,5,0)&amp;""</f>
        <v>Based on the response to REQU-03 on the "START HERE" tab, this question does not apply to this product or service.</v>
      </c>
      <c r="F254" s="196"/>
      <c r="G254" s="31" t="str">
        <f>VLOOKUP($A254,Questions!$A$2:$X$333,21,0)&amp;""</f>
        <v>No</v>
      </c>
      <c r="H254" s="186"/>
      <c r="I254" s="46" t="str">
        <f>VLOOKUP($A254,Questions!$A$2:$X$333,23,0)&amp;""</f>
        <v>Standard Importance</v>
      </c>
      <c r="J254" s="186"/>
      <c r="K254" s="49" t="b">
        <v>0</v>
      </c>
      <c r="L254" s="1"/>
    </row>
    <row r="255" spans="1:12" s="30" customFormat="1" ht="90" x14ac:dyDescent="0.2">
      <c r="A255" s="19" t="str">
        <f>'Case-Specific'!A31</f>
        <v>CONS-09</v>
      </c>
      <c r="B255" s="20" t="str">
        <f>VLOOKUP($A255,'Case-Specific'!$A$13:$E$85,2,0)&amp;""</f>
        <v>Will the consultant need remote access to the institution's network or systems?</v>
      </c>
      <c r="C255" s="46" t="str">
        <f>VLOOKUP($A255,'Case-Specific'!$A$13:$E$85,3,0)&amp;""</f>
        <v/>
      </c>
      <c r="D255" s="35" t="str">
        <f>IF(LEFT(VLOOKUP($A255,'Case-Specific'!$A$13:$E$85,5,0),21)='Auto Responses'!$A$32,'Auto Responses'!$A$33,VLOOKUP($A255,'Case-Specific'!$A$13:$E$85,4,0))&amp;""</f>
        <v>This question does not apply.</v>
      </c>
      <c r="E255" s="331" t="str">
        <f>VLOOKUP($A255,'Case-Specific'!$A$13:$E$85,5,0)&amp;""</f>
        <v>Based on the response to REQU-03 on the "START HERE" tab, this question does not apply to this product or service.</v>
      </c>
      <c r="F255" s="196"/>
      <c r="G255" s="31" t="str">
        <f>VLOOKUP($A255,Questions!$A$2:$X$333,21,0)&amp;""</f>
        <v>No</v>
      </c>
      <c r="H255" s="186"/>
      <c r="I255" s="46" t="str">
        <f>VLOOKUP($A255,Questions!$A$2:$X$333,23,0)&amp;""</f>
        <v>Standard Importance</v>
      </c>
      <c r="J255" s="186"/>
      <c r="K255" s="49" t="b">
        <v>0</v>
      </c>
      <c r="L255" s="1"/>
    </row>
    <row r="256" spans="1:12" s="1" customFormat="1" ht="18" x14ac:dyDescent="0.2">
      <c r="A256" s="64" t="str">
        <f>VLOOKUP(LEFT($A257,4),'Auto Responses'!$N$4:$O$38,2,0)&amp;""</f>
        <v xml:space="preserve">HIPAA Compliance </v>
      </c>
      <c r="B256" s="23"/>
      <c r="C256" s="32"/>
      <c r="D256" s="32"/>
      <c r="E256" s="332"/>
      <c r="F256" s="133" t="s">
        <v>1066</v>
      </c>
      <c r="G256" s="336" t="s">
        <v>904</v>
      </c>
      <c r="H256" s="336" t="s">
        <v>906</v>
      </c>
      <c r="I256" s="336" t="s">
        <v>19</v>
      </c>
      <c r="J256" s="336" t="s">
        <v>891</v>
      </c>
      <c r="K256" s="32"/>
    </row>
    <row r="257" spans="1:12" s="30" customFormat="1" ht="90" x14ac:dyDescent="0.2">
      <c r="A257" s="19" t="str">
        <f>'Case-Specific'!A33</f>
        <v>HIPA-01</v>
      </c>
      <c r="B257" s="20" t="str">
        <f>VLOOKUP($A257,'Case-Specific'!$A$13:$E$85,2,0)&amp;""</f>
        <v>Do your workforce members receive regular training related to the Health Insurance Portability and Accountability Act (HIPAA) Privacy and Security Rules and the HITECH Act?*</v>
      </c>
      <c r="C257" s="46" t="str">
        <f>VLOOKUP($A257,'Case-Specific'!$A$13:$E$85,3,0)&amp;""</f>
        <v/>
      </c>
      <c r="D257" s="35" t="str">
        <f>IF(LEFT(VLOOKUP($A257,'Case-Specific'!$A$13:$E$85,5,0),21)='Auto Responses'!$A$32,'Auto Responses'!$A$33,VLOOKUP($A257,'Case-Specific'!$A$13:$E$85,4,0))&amp;""</f>
        <v>This question does not apply.</v>
      </c>
      <c r="E257" s="331" t="str">
        <f>VLOOKUP($A257,'Case-Specific'!$A$13:$E$85,5,0)&amp;""</f>
        <v>Based on the response to REQU-05 on the "START HERE" tab, this question does not apply to this product or service.</v>
      </c>
      <c r="F257" s="196"/>
      <c r="G257" s="31" t="str">
        <f>VLOOKUP($A257,Questions!$A$2:$X$333,21,0)&amp;""</f>
        <v>Yes</v>
      </c>
      <c r="H257" s="186"/>
      <c r="I257" s="46" t="str">
        <f>VLOOKUP($A257,Questions!$A$2:$X$333,23,0)&amp;""</f>
        <v>Critical Importance</v>
      </c>
      <c r="J257" s="186"/>
      <c r="K257" s="49" t="b">
        <v>0</v>
      </c>
      <c r="L257" s="1"/>
    </row>
    <row r="258" spans="1:12" s="30" customFormat="1" ht="90" x14ac:dyDescent="0.2">
      <c r="A258" s="19" t="str">
        <f>'Case-Specific'!A34</f>
        <v>HIPA-02</v>
      </c>
      <c r="B258" s="20" t="str">
        <f>VLOOKUP($A258,'Case-Specific'!$A$13:$E$85,2,0)&amp;""</f>
        <v>Have you identified areas of risk?*</v>
      </c>
      <c r="C258" s="46" t="str">
        <f>VLOOKUP($A258,'Case-Specific'!$A$13:$E$85,3,0)&amp;""</f>
        <v/>
      </c>
      <c r="D258" s="35" t="str">
        <f>IF(LEFT(VLOOKUP($A258,'Case-Specific'!$A$13:$E$85,5,0),21)='Auto Responses'!$A$32,'Auto Responses'!$A$33,VLOOKUP($A258,'Case-Specific'!$A$13:$E$85,4,0))&amp;""</f>
        <v>This question does not apply.</v>
      </c>
      <c r="E258" s="331" t="str">
        <f>VLOOKUP($A258,'Case-Specific'!$A$13:$E$85,5,0)&amp;""</f>
        <v>Based on the response to REQU-05 on the "START HERE" tab, this question does not apply to this product or service.</v>
      </c>
      <c r="F258" s="196"/>
      <c r="G258" s="31" t="str">
        <f>VLOOKUP($A258,Questions!$A$2:$X$333,21,0)&amp;""</f>
        <v>Yes</v>
      </c>
      <c r="H258" s="186"/>
      <c r="I258" s="46" t="str">
        <f>VLOOKUP($A258,Questions!$A$2:$X$333,23,0)&amp;""</f>
        <v>Critical Importance</v>
      </c>
      <c r="J258" s="186"/>
      <c r="K258" s="49" t="b">
        <v>0</v>
      </c>
      <c r="L258" s="1"/>
    </row>
    <row r="259" spans="1:12" s="30" customFormat="1" ht="90" x14ac:dyDescent="0.2">
      <c r="A259" s="19" t="str">
        <f>'Case-Specific'!A35</f>
        <v>HIPA-03</v>
      </c>
      <c r="B259" s="20" t="str">
        <f>VLOOKUP($A259,'Case-Specific'!$A$13:$E$85,2,0)&amp;""</f>
        <v>Have the relevant policies/plans been tested?*</v>
      </c>
      <c r="C259" s="46" t="str">
        <f>VLOOKUP($A259,'Case-Specific'!$A$13:$E$85,3,0)&amp;""</f>
        <v/>
      </c>
      <c r="D259" s="35" t="str">
        <f>IF(LEFT(VLOOKUP($A259,'Case-Specific'!$A$13:$E$85,5,0),21)='Auto Responses'!$A$32,'Auto Responses'!$A$33,VLOOKUP($A259,'Case-Specific'!$A$13:$E$85,4,0))&amp;""</f>
        <v>This question does not apply.</v>
      </c>
      <c r="E259" s="331" t="str">
        <f>VLOOKUP($A259,'Case-Specific'!$A$13:$E$85,5,0)&amp;""</f>
        <v>Based on the response to REQU-05 on the "START HERE" tab, this question does not apply to this product or service.</v>
      </c>
      <c r="F259" s="196"/>
      <c r="G259" s="31" t="str">
        <f>VLOOKUP($A259,Questions!$A$2:$X$333,21,0)&amp;""</f>
        <v>Yes</v>
      </c>
      <c r="H259" s="186"/>
      <c r="I259" s="46" t="str">
        <f>VLOOKUP($A259,Questions!$A$2:$X$333,23,0)&amp;""</f>
        <v>Critical Importance</v>
      </c>
      <c r="J259" s="186"/>
      <c r="K259" s="49" t="b">
        <v>0</v>
      </c>
      <c r="L259" s="1"/>
    </row>
    <row r="260" spans="1:12" s="30" customFormat="1" ht="90" x14ac:dyDescent="0.2">
      <c r="A260" s="19" t="str">
        <f>'Case-Specific'!A36</f>
        <v>HIPA-04</v>
      </c>
      <c r="B260" s="20" t="str">
        <f>VLOOKUP($A260,'Case-Specific'!$A$13:$E$85,2,0)&amp;""</f>
        <v>Have you entered into a Business Associate Agreements with all subcontractors who may have access to protected health information (PHI)?*</v>
      </c>
      <c r="C260" s="46" t="str">
        <f>VLOOKUP($A260,'Case-Specific'!$A$13:$E$85,3,0)&amp;""</f>
        <v/>
      </c>
      <c r="D260" s="35" t="str">
        <f>IF(LEFT(VLOOKUP($A260,'Case-Specific'!$A$13:$E$85,5,0),21)='Auto Responses'!$A$32,'Auto Responses'!$A$33,VLOOKUP($A260,'Case-Specific'!$A$13:$E$85,4,0))&amp;""</f>
        <v>This question does not apply.</v>
      </c>
      <c r="E260" s="331" t="str">
        <f>VLOOKUP($A260,'Case-Specific'!$A$13:$E$85,5,0)&amp;""</f>
        <v>Based on the response to REQU-05 on the "START HERE" tab, this question does not apply to this product or service.</v>
      </c>
      <c r="F260" s="196"/>
      <c r="G260" s="31" t="str">
        <f>VLOOKUP($A260,Questions!$A$2:$X$333,21,0)&amp;""</f>
        <v>Yes</v>
      </c>
      <c r="H260" s="186"/>
      <c r="I260" s="46" t="str">
        <f>VLOOKUP($A260,Questions!$A$2:$X$333,23,0)&amp;""</f>
        <v>Critical Importance</v>
      </c>
      <c r="J260" s="186"/>
      <c r="K260" s="49" t="b">
        <v>0</v>
      </c>
      <c r="L260" s="1"/>
    </row>
    <row r="261" spans="1:12" s="30" customFormat="1" ht="90" x14ac:dyDescent="0.2">
      <c r="A261" s="19" t="str">
        <f>'Case-Specific'!A37</f>
        <v>HIPA-05</v>
      </c>
      <c r="B261" s="20" t="str">
        <f>VLOOKUP($A261,'Case-Specific'!$A$13:$E$85,2,0)&amp;""</f>
        <v>Do you monitor or receive information regarding changes in HIPAA regulations?</v>
      </c>
      <c r="C261" s="46" t="str">
        <f>VLOOKUP($A261,'Case-Specific'!$A$13:$E$85,3,0)&amp;""</f>
        <v/>
      </c>
      <c r="D261" s="35" t="str">
        <f>IF(LEFT(VLOOKUP($A261,'Case-Specific'!$A$13:$E$85,5,0),21)='Auto Responses'!$A$32,'Auto Responses'!$A$33,VLOOKUP($A261,'Case-Specific'!$A$13:$E$85,4,0))&amp;""</f>
        <v>This question does not apply.</v>
      </c>
      <c r="E261" s="331" t="str">
        <f>VLOOKUP($A261,'Case-Specific'!$A$13:$E$85,5,0)&amp;""</f>
        <v>Based on the response to REQU-05 on the "START HERE" tab, this question does not apply to this product or service.</v>
      </c>
      <c r="F261" s="196"/>
      <c r="G261" s="31" t="str">
        <f>VLOOKUP($A261,Questions!$A$2:$X$333,21,0)&amp;""</f>
        <v>Yes</v>
      </c>
      <c r="H261" s="186"/>
      <c r="I261" s="46" t="str">
        <f>VLOOKUP($A261,Questions!$A$2:$X$333,23,0)&amp;""</f>
        <v>Standard Importance</v>
      </c>
      <c r="J261" s="186"/>
      <c r="K261" s="49" t="b">
        <v>0</v>
      </c>
      <c r="L261" s="1"/>
    </row>
    <row r="262" spans="1:12" s="30" customFormat="1" ht="90" x14ac:dyDescent="0.2">
      <c r="A262" s="19" t="str">
        <f>'Case-Specific'!A38</f>
        <v>HIPA-06</v>
      </c>
      <c r="B262" s="20" t="str">
        <f>VLOOKUP($A262,'Case-Specific'!$A$13:$E$85,2,0)&amp;""</f>
        <v>Has your organization designated HIPAA Privacy and Security officers as required by the rules?</v>
      </c>
      <c r="C262" s="46" t="str">
        <f>VLOOKUP($A262,'Case-Specific'!$A$13:$E$85,3,0)&amp;""</f>
        <v/>
      </c>
      <c r="D262" s="35" t="str">
        <f>IF(LEFT(VLOOKUP($A262,'Case-Specific'!$A$13:$E$85,5,0),21)='Auto Responses'!$A$32,'Auto Responses'!$A$33,VLOOKUP($A262,'Case-Specific'!$A$13:$E$85,4,0))&amp;""</f>
        <v>This question does not apply.</v>
      </c>
      <c r="E262" s="331" t="str">
        <f>VLOOKUP($A262,'Case-Specific'!$A$13:$E$85,5,0)&amp;""</f>
        <v>Based on the response to REQU-05 on the "START HERE" tab, this question does not apply to this product or service.</v>
      </c>
      <c r="F262" s="196"/>
      <c r="G262" s="31" t="str">
        <f>VLOOKUP($A262,Questions!$A$2:$X$333,21,0)&amp;""</f>
        <v>Yes</v>
      </c>
      <c r="H262" s="186"/>
      <c r="I262" s="46" t="str">
        <f>VLOOKUP($A262,Questions!$A$2:$X$333,23,0)&amp;""</f>
        <v>Standard Importance</v>
      </c>
      <c r="J262" s="186"/>
      <c r="K262" s="49" t="b">
        <v>0</v>
      </c>
      <c r="L262" s="1"/>
    </row>
    <row r="263" spans="1:12" s="30" customFormat="1" ht="90" x14ac:dyDescent="0.2">
      <c r="A263" s="19" t="str">
        <f>'Case-Specific'!A39</f>
        <v>HIPA-07</v>
      </c>
      <c r="B263" s="20" t="str">
        <f>VLOOKUP($A263,'Case-Specific'!$A$13:$E$85,2,0)&amp;""</f>
        <v>Do you comply with the requirements of the Health Information Technology for Economic and Clinical Health Act (HITECH)?</v>
      </c>
      <c r="C263" s="46" t="str">
        <f>VLOOKUP($A263,'Case-Specific'!$A$13:$E$85,3,0)&amp;""</f>
        <v/>
      </c>
      <c r="D263" s="35" t="str">
        <f>IF(LEFT(VLOOKUP($A263,'Case-Specific'!$A$13:$E$85,5,0),21)='Auto Responses'!$A$32,'Auto Responses'!$A$33,VLOOKUP($A263,'Case-Specific'!$A$13:$E$85,4,0))&amp;""</f>
        <v>This question does not apply.</v>
      </c>
      <c r="E263" s="331" t="str">
        <f>VLOOKUP($A263,'Case-Specific'!$A$13:$E$85,5,0)&amp;""</f>
        <v>Based on the response to REQU-05 on the "START HERE" tab, this question does not apply to this product or service.</v>
      </c>
      <c r="F263" s="196"/>
      <c r="G263" s="31" t="str">
        <f>VLOOKUP($A263,Questions!$A$2:$X$333,21,0)&amp;""</f>
        <v>Yes</v>
      </c>
      <c r="H263" s="186"/>
      <c r="I263" s="46" t="str">
        <f>VLOOKUP($A263,Questions!$A$2:$X$333,23,0)&amp;""</f>
        <v>Standard Importance</v>
      </c>
      <c r="J263" s="186"/>
      <c r="K263" s="49" t="b">
        <v>0</v>
      </c>
      <c r="L263" s="1"/>
    </row>
    <row r="264" spans="1:12" s="30" customFormat="1" ht="90" x14ac:dyDescent="0.2">
      <c r="A264" s="19" t="str">
        <f>'Case-Specific'!A40</f>
        <v>HIPA-08</v>
      </c>
      <c r="B264" s="20" t="str">
        <f>VLOOKUP($A264,'Case-Specific'!$A$13:$E$85,2,0)&amp;""</f>
        <v>Have you conducted a risk analysis as required under the HIPAA Security Rule?</v>
      </c>
      <c r="C264" s="46" t="str">
        <f>VLOOKUP($A264,'Case-Specific'!$A$13:$E$85,3,0)&amp;""</f>
        <v/>
      </c>
      <c r="D264" s="35" t="str">
        <f>IF(LEFT(VLOOKUP($A264,'Case-Specific'!$A$13:$E$85,5,0),21)='Auto Responses'!$A$32,'Auto Responses'!$A$33,VLOOKUP($A264,'Case-Specific'!$A$13:$E$85,4,0))&amp;""</f>
        <v>This question does not apply.</v>
      </c>
      <c r="E264" s="331" t="str">
        <f>VLOOKUP($A264,'Case-Specific'!$A$13:$E$85,5,0)&amp;""</f>
        <v>Based on the response to REQU-05 on the "START HERE" tab, this question does not apply to this product or service.</v>
      </c>
      <c r="F264" s="196"/>
      <c r="G264" s="31" t="str">
        <f>VLOOKUP($A264,Questions!$A$2:$X$333,21,0)&amp;""</f>
        <v>Yes</v>
      </c>
      <c r="H264" s="186"/>
      <c r="I264" s="46" t="str">
        <f>VLOOKUP($A264,Questions!$A$2:$X$333,23,0)&amp;""</f>
        <v>Standard Importance</v>
      </c>
      <c r="J264" s="186"/>
      <c r="K264" s="49" t="b">
        <v>0</v>
      </c>
      <c r="L264" s="1"/>
    </row>
    <row r="265" spans="1:12" s="30" customFormat="1" ht="90" x14ac:dyDescent="0.2">
      <c r="A265" s="19" t="str">
        <f>'Case-Specific'!A41</f>
        <v>HIPA-09</v>
      </c>
      <c r="B265" s="20" t="str">
        <f>VLOOKUP($A265,'Case-Specific'!$A$13:$E$85,2,0)&amp;""</f>
        <v>Have you taken actions to mitigate the identified risks?</v>
      </c>
      <c r="C265" s="46" t="str">
        <f>VLOOKUP($A265,'Case-Specific'!$A$13:$E$85,3,0)&amp;""</f>
        <v/>
      </c>
      <c r="D265" s="35" t="str">
        <f>IF(LEFT(VLOOKUP($A265,'Case-Specific'!$A$13:$E$85,5,0),21)='Auto Responses'!$A$32,'Auto Responses'!$A$33,VLOOKUP($A265,'Case-Specific'!$A$13:$E$85,4,0))&amp;""</f>
        <v>This question does not apply.</v>
      </c>
      <c r="E265" s="331" t="str">
        <f>VLOOKUP($A265,'Case-Specific'!$A$13:$E$85,5,0)&amp;""</f>
        <v>Based on the response to REQU-05 on the "START HERE" tab, this question does not apply to this product or service.</v>
      </c>
      <c r="F265" s="196"/>
      <c r="G265" s="31" t="str">
        <f>VLOOKUP($A265,Questions!$A$2:$X$333,21,0)&amp;""</f>
        <v>Yes</v>
      </c>
      <c r="H265" s="186"/>
      <c r="I265" s="46" t="str">
        <f>VLOOKUP($A265,Questions!$A$2:$X$333,23,0)&amp;""</f>
        <v>Standard Importance</v>
      </c>
      <c r="J265" s="186"/>
      <c r="K265" s="49" t="b">
        <v>0</v>
      </c>
      <c r="L265" s="1"/>
    </row>
    <row r="266" spans="1:12" s="30" customFormat="1" ht="90" x14ac:dyDescent="0.2">
      <c r="A266" s="19" t="str">
        <f>'Case-Specific'!A42</f>
        <v>HIPA-10</v>
      </c>
      <c r="B266" s="20" t="str">
        <f>VLOOKUP($A266,'Case-Specific'!$A$13:$E$85,2,0)&amp;""</f>
        <v>Does your application require user and system administrator password changes at a frequency no greater than 90 days?</v>
      </c>
      <c r="C266" s="46" t="str">
        <f>VLOOKUP($A266,'Case-Specific'!$A$13:$E$85,3,0)&amp;""</f>
        <v/>
      </c>
      <c r="D266" s="35" t="str">
        <f>IF(LEFT(VLOOKUP($A266,'Case-Specific'!$A$13:$E$85,5,0),21)='Auto Responses'!$A$32,'Auto Responses'!$A$33,VLOOKUP($A266,'Case-Specific'!$A$13:$E$85,4,0))&amp;""</f>
        <v>This question does not apply.</v>
      </c>
      <c r="E266" s="331" t="str">
        <f>VLOOKUP($A266,'Case-Specific'!$A$13:$E$85,5,0)&amp;""</f>
        <v>Based on the response to REQU-05 on the "START HERE" tab, this question does not apply to this product or service.</v>
      </c>
      <c r="F266" s="196"/>
      <c r="G266" s="31" t="str">
        <f>VLOOKUP($A266,Questions!$A$2:$X$333,21,0)&amp;""</f>
        <v>Yes</v>
      </c>
      <c r="H266" s="186"/>
      <c r="I266" s="46" t="str">
        <f>VLOOKUP($A266,Questions!$A$2:$X$333,23,0)&amp;""</f>
        <v>Standard Importance</v>
      </c>
      <c r="J266" s="186"/>
      <c r="K266" s="49" t="b">
        <v>0</v>
      </c>
      <c r="L266" s="1"/>
    </row>
    <row r="267" spans="1:12" s="30" customFormat="1" ht="90" x14ac:dyDescent="0.2">
      <c r="A267" s="19" t="str">
        <f>'Case-Specific'!A43</f>
        <v>HIPA-11</v>
      </c>
      <c r="B267" s="20" t="str">
        <f>VLOOKUP($A267,'Case-Specific'!$A$13:$E$85,2,0)&amp;""</f>
        <v>Does your application require users to set their own password after an administrator reset or on first use of the account?</v>
      </c>
      <c r="C267" s="46" t="str">
        <f>VLOOKUP($A267,'Case-Specific'!$A$13:$E$85,3,0)&amp;""</f>
        <v/>
      </c>
      <c r="D267" s="35" t="str">
        <f>IF(LEFT(VLOOKUP($A267,'Case-Specific'!$A$13:$E$85,5,0),21)='Auto Responses'!$A$32,'Auto Responses'!$A$33,VLOOKUP($A267,'Case-Specific'!$A$13:$E$85,4,0))&amp;""</f>
        <v>This question does not apply.</v>
      </c>
      <c r="E267" s="331" t="str">
        <f>VLOOKUP($A267,'Case-Specific'!$A$13:$E$85,5,0)&amp;""</f>
        <v>Based on the response to REQU-05 on the "START HERE" tab, this question does not apply to this product or service.</v>
      </c>
      <c r="F267" s="196"/>
      <c r="G267" s="31" t="str">
        <f>VLOOKUP($A267,Questions!$A$2:$X$333,21,0)&amp;""</f>
        <v>Yes</v>
      </c>
      <c r="H267" s="186"/>
      <c r="I267" s="46" t="str">
        <f>VLOOKUP($A267,Questions!$A$2:$X$333,23,0)&amp;""</f>
        <v>Standard Importance</v>
      </c>
      <c r="J267" s="186"/>
      <c r="K267" s="49" t="b">
        <v>0</v>
      </c>
      <c r="L267" s="1"/>
    </row>
    <row r="268" spans="1:12" s="30" customFormat="1" ht="90" x14ac:dyDescent="0.2">
      <c r="A268" s="19" t="str">
        <f>'Case-Specific'!A44</f>
        <v>HIPA-12</v>
      </c>
      <c r="B268" s="20" t="str">
        <f>VLOOKUP($A268,'Case-Specific'!$A$13:$E$85,2,0)&amp;""</f>
        <v>Does your application lock out an account after a number of failed login attempts?</v>
      </c>
      <c r="C268" s="46" t="str">
        <f>VLOOKUP($A268,'Case-Specific'!$A$13:$E$85,3,0)&amp;""</f>
        <v/>
      </c>
      <c r="D268" s="35" t="str">
        <f>IF(LEFT(VLOOKUP($A268,'Case-Specific'!$A$13:$E$85,5,0),21)='Auto Responses'!$A$32,'Auto Responses'!$A$33,VLOOKUP($A268,'Case-Specific'!$A$13:$E$85,4,0))&amp;""</f>
        <v>This question does not apply.</v>
      </c>
      <c r="E268" s="331" t="str">
        <f>VLOOKUP($A268,'Case-Specific'!$A$13:$E$85,5,0)&amp;""</f>
        <v>Based on the response to REQU-05 on the "START HERE" tab, this question does not apply to this product or service.</v>
      </c>
      <c r="F268" s="196"/>
      <c r="G268" s="31" t="str">
        <f>VLOOKUP($A268,Questions!$A$2:$X$333,21,0)&amp;""</f>
        <v>Yes</v>
      </c>
      <c r="H268" s="186"/>
      <c r="I268" s="46" t="str">
        <f>VLOOKUP($A268,Questions!$A$2:$X$333,23,0)&amp;""</f>
        <v>Standard Importance</v>
      </c>
      <c r="J268" s="186"/>
      <c r="K268" s="49" t="b">
        <v>0</v>
      </c>
      <c r="L268" s="1"/>
    </row>
    <row r="269" spans="1:12" s="30" customFormat="1" ht="90" x14ac:dyDescent="0.2">
      <c r="A269" s="19" t="str">
        <f>'Case-Specific'!A45</f>
        <v>HIPA-13</v>
      </c>
      <c r="B269" s="20" t="str">
        <f>VLOOKUP($A269,'Case-Specific'!$A$13:$E$85,2,0)&amp;""</f>
        <v>Does your application automatically lock or log-out an account after a period of inactivity?</v>
      </c>
      <c r="C269" s="46" t="str">
        <f>VLOOKUP($A269,'Case-Specific'!$A$13:$E$85,3,0)&amp;""</f>
        <v/>
      </c>
      <c r="D269" s="35" t="str">
        <f>IF(LEFT(VLOOKUP($A269,'Case-Specific'!$A$13:$E$85,5,0),21)='Auto Responses'!$A$32,'Auto Responses'!$A$33,VLOOKUP($A269,'Case-Specific'!$A$13:$E$85,4,0))&amp;""</f>
        <v>This question does not apply.</v>
      </c>
      <c r="E269" s="331" t="str">
        <f>VLOOKUP($A269,'Case-Specific'!$A$13:$E$85,5,0)&amp;""</f>
        <v>Based on the response to REQU-05 on the "START HERE" tab, this question does not apply to this product or service.</v>
      </c>
      <c r="F269" s="196"/>
      <c r="G269" s="31" t="str">
        <f>VLOOKUP($A269,Questions!$A$2:$X$333,21,0)&amp;""</f>
        <v>Yes</v>
      </c>
      <c r="H269" s="186"/>
      <c r="I269" s="46" t="str">
        <f>VLOOKUP($A269,Questions!$A$2:$X$333,23,0)&amp;""</f>
        <v>Standard Importance</v>
      </c>
      <c r="J269" s="186"/>
      <c r="K269" s="49" t="b">
        <v>0</v>
      </c>
      <c r="L269" s="1"/>
    </row>
    <row r="270" spans="1:12" s="30" customFormat="1" ht="90" x14ac:dyDescent="0.2">
      <c r="A270" s="19" t="str">
        <f>'Case-Specific'!A46</f>
        <v>HIPA-14</v>
      </c>
      <c r="B270" s="20" t="str">
        <f>VLOOKUP($A270,'Case-Specific'!$A$13:$E$85,2,0)&amp;""</f>
        <v>Are passwords visible in plain text, whether when stored or entered, including service level accounts (i.e., database accounts, etc.)?</v>
      </c>
      <c r="C270" s="46" t="str">
        <f>VLOOKUP($A270,'Case-Specific'!$A$13:$E$85,3,0)&amp;""</f>
        <v/>
      </c>
      <c r="D270" s="35" t="str">
        <f>IF(LEFT(VLOOKUP($A270,'Case-Specific'!$A$13:$E$85,5,0),21)='Auto Responses'!$A$32,'Auto Responses'!$A$33,VLOOKUP($A270,'Case-Specific'!$A$13:$E$85,4,0))&amp;""</f>
        <v>This question does not apply.</v>
      </c>
      <c r="E270" s="331" t="str">
        <f>VLOOKUP($A270,'Case-Specific'!$A$13:$E$85,5,0)&amp;""</f>
        <v>Based on the response to REQU-05 on the "START HERE" tab, this question does not apply to this product or service.</v>
      </c>
      <c r="F270" s="196"/>
      <c r="G270" s="31" t="str">
        <f>VLOOKUP($A270,Questions!$A$2:$X$333,21,0)&amp;""</f>
        <v>No</v>
      </c>
      <c r="H270" s="186"/>
      <c r="I270" s="46" t="str">
        <f>VLOOKUP($A270,Questions!$A$2:$X$333,23,0)&amp;""</f>
        <v>Standard Importance</v>
      </c>
      <c r="J270" s="186"/>
      <c r="K270" s="49" t="b">
        <v>0</v>
      </c>
      <c r="L270" s="1"/>
    </row>
    <row r="271" spans="1:12" s="30" customFormat="1" ht="90" x14ac:dyDescent="0.2">
      <c r="A271" s="19" t="str">
        <f>'Case-Specific'!A47</f>
        <v>HIPA-15</v>
      </c>
      <c r="B271" s="20" t="str">
        <f>VLOOKUP($A271,'Case-Specific'!$A$13:$E$85,2,0)&amp;""</f>
        <v>If the application is institution-hosted, can all service level and administrative account passwords be changed by the institution?</v>
      </c>
      <c r="C271" s="46" t="str">
        <f>VLOOKUP($A271,'Case-Specific'!$A$13:$E$85,3,0)&amp;""</f>
        <v/>
      </c>
      <c r="D271" s="35" t="str">
        <f>IF(LEFT(VLOOKUP($A271,'Case-Specific'!$A$13:$E$85,5,0),21)='Auto Responses'!$A$32,'Auto Responses'!$A$33,VLOOKUP($A271,'Case-Specific'!$A$13:$E$85,4,0))&amp;""</f>
        <v>This question does not apply.</v>
      </c>
      <c r="E271" s="331" t="str">
        <f>VLOOKUP($A271,'Case-Specific'!$A$13:$E$85,5,0)&amp;""</f>
        <v>Based on the response to REQU-05 on the "START HERE" tab, this question does not apply to this product or service.</v>
      </c>
      <c r="F271" s="196"/>
      <c r="G271" s="31" t="str">
        <f>VLOOKUP($A271,Questions!$A$2:$X$333,21,0)&amp;""</f>
        <v>Yes</v>
      </c>
      <c r="H271" s="186"/>
      <c r="I271" s="46" t="str">
        <f>VLOOKUP($A271,Questions!$A$2:$X$333,23,0)&amp;""</f>
        <v>Standard Importance</v>
      </c>
      <c r="J271" s="186"/>
      <c r="K271" s="49" t="b">
        <v>0</v>
      </c>
      <c r="L271" s="1"/>
    </row>
    <row r="272" spans="1:12" s="30" customFormat="1" ht="90" x14ac:dyDescent="0.2">
      <c r="A272" s="19" t="str">
        <f>'Case-Specific'!A48</f>
        <v>HIPA-16</v>
      </c>
      <c r="B272" s="20" t="str">
        <f>VLOOKUP($A272,'Case-Specific'!$A$13:$E$85,2,0)&amp;""</f>
        <v>Does your application provide the ability to define user access levels?</v>
      </c>
      <c r="C272" s="46" t="str">
        <f>VLOOKUP($A272,'Case-Specific'!$A$13:$E$85,3,0)&amp;""</f>
        <v/>
      </c>
      <c r="D272" s="35" t="str">
        <f>IF(LEFT(VLOOKUP($A272,'Case-Specific'!$A$13:$E$85,5,0),21)='Auto Responses'!$A$32,'Auto Responses'!$A$33,VLOOKUP($A272,'Case-Specific'!$A$13:$E$85,4,0))&amp;""</f>
        <v>This question does not apply.</v>
      </c>
      <c r="E272" s="331" t="str">
        <f>VLOOKUP($A272,'Case-Specific'!$A$13:$E$85,5,0)&amp;""</f>
        <v>Based on the response to REQU-05 on the "START HERE" tab, this question does not apply to this product or service.</v>
      </c>
      <c r="F272" s="196"/>
      <c r="G272" s="31" t="str">
        <f>VLOOKUP($A272,Questions!$A$2:$X$333,21,0)&amp;""</f>
        <v>Yes</v>
      </c>
      <c r="H272" s="186"/>
      <c r="I272" s="46" t="str">
        <f>VLOOKUP($A272,Questions!$A$2:$X$333,23,0)&amp;""</f>
        <v>Standard Importance</v>
      </c>
      <c r="J272" s="186"/>
      <c r="K272" s="49" t="b">
        <v>0</v>
      </c>
      <c r="L272" s="1"/>
    </row>
    <row r="273" spans="1:12" s="30" customFormat="1" ht="90" x14ac:dyDescent="0.2">
      <c r="A273" s="19" t="str">
        <f>'Case-Specific'!A49</f>
        <v>HIPA-17</v>
      </c>
      <c r="B273" s="20" t="str">
        <f>VLOOKUP($A273,'Case-Specific'!$A$13:$E$85,2,0)&amp;""</f>
        <v>Does your application support varying levels of access to administrative tasks defined individually per user?</v>
      </c>
      <c r="C273" s="46" t="str">
        <f>VLOOKUP($A273,'Case-Specific'!$A$13:$E$85,3,0)&amp;""</f>
        <v/>
      </c>
      <c r="D273" s="35" t="str">
        <f>IF(LEFT(VLOOKUP($A273,'Case-Specific'!$A$13:$E$85,5,0),21)='Auto Responses'!$A$32,'Auto Responses'!$A$33,VLOOKUP($A273,'Case-Specific'!$A$13:$E$85,4,0))&amp;""</f>
        <v>This question does not apply.</v>
      </c>
      <c r="E273" s="331" t="str">
        <f>VLOOKUP($A273,'Case-Specific'!$A$13:$E$85,5,0)&amp;""</f>
        <v>Based on the response to REQU-05 on the "START HERE" tab, this question does not apply to this product or service.</v>
      </c>
      <c r="F273" s="196"/>
      <c r="G273" s="31" t="str">
        <f>VLOOKUP($A273,Questions!$A$2:$X$333,21,0)&amp;""</f>
        <v>Yes</v>
      </c>
      <c r="H273" s="186"/>
      <c r="I273" s="46" t="str">
        <f>VLOOKUP($A273,Questions!$A$2:$X$333,23,0)&amp;""</f>
        <v>Standard Importance</v>
      </c>
      <c r="J273" s="186"/>
      <c r="K273" s="49" t="b">
        <v>0</v>
      </c>
      <c r="L273" s="1"/>
    </row>
    <row r="274" spans="1:12" s="30" customFormat="1" ht="90" x14ac:dyDescent="0.2">
      <c r="A274" s="19" t="str">
        <f>'Case-Specific'!A50</f>
        <v>HIPA-18</v>
      </c>
      <c r="B274" s="20" t="str">
        <f>VLOOKUP($A274,'Case-Specific'!$A$13:$E$85,2,0)&amp;""</f>
        <v>Does your application support varying levels of access to records based on user ID?</v>
      </c>
      <c r="C274" s="46" t="str">
        <f>VLOOKUP($A274,'Case-Specific'!$A$13:$E$85,3,0)&amp;""</f>
        <v/>
      </c>
      <c r="D274" s="35" t="str">
        <f>IF(LEFT(VLOOKUP($A274,'Case-Specific'!$A$13:$E$85,5,0),21)='Auto Responses'!$A$32,'Auto Responses'!$A$33,VLOOKUP($A274,'Case-Specific'!$A$13:$E$85,4,0))&amp;""</f>
        <v>This question does not apply.</v>
      </c>
      <c r="E274" s="331" t="str">
        <f>VLOOKUP($A274,'Case-Specific'!$A$13:$E$85,5,0)&amp;""</f>
        <v>Based on the response to REQU-05 on the "START HERE" tab, this question does not apply to this product or service.</v>
      </c>
      <c r="F274" s="196"/>
      <c r="G274" s="31" t="str">
        <f>VLOOKUP($A274,Questions!$A$2:$X$333,21,0)&amp;""</f>
        <v>No</v>
      </c>
      <c r="H274" s="186"/>
      <c r="I274" s="46" t="str">
        <f>VLOOKUP($A274,Questions!$A$2:$X$333,23,0)&amp;""</f>
        <v>Standard Importance</v>
      </c>
      <c r="J274" s="186"/>
      <c r="K274" s="49" t="b">
        <v>0</v>
      </c>
      <c r="L274" s="1"/>
    </row>
    <row r="275" spans="1:12" s="30" customFormat="1" ht="90" x14ac:dyDescent="0.2">
      <c r="A275" s="19" t="str">
        <f>'Case-Specific'!A51</f>
        <v>HIPA-19</v>
      </c>
      <c r="B275" s="20" t="str">
        <f>VLOOKUP($A275,'Case-Specific'!$A$13:$E$85,2,0)&amp;""</f>
        <v>Is there a limit to the number of groups to which a user can be assigned?</v>
      </c>
      <c r="C275" s="46" t="str">
        <f>VLOOKUP($A275,'Case-Specific'!$A$13:$E$85,3,0)&amp;""</f>
        <v/>
      </c>
      <c r="D275" s="35" t="str">
        <f>IF(LEFT(VLOOKUP($A275,'Case-Specific'!$A$13:$E$85,5,0),21)='Auto Responses'!$A$32,'Auto Responses'!$A$33,VLOOKUP($A275,'Case-Specific'!$A$13:$E$85,4,0))&amp;""</f>
        <v>This question does not apply.</v>
      </c>
      <c r="E275" s="331" t="str">
        <f>VLOOKUP($A275,'Case-Specific'!$A$13:$E$85,5,0)&amp;""</f>
        <v>Based on the response to REQU-05 on the "START HERE" tab, this question does not apply to this product or service.</v>
      </c>
      <c r="F275" s="196"/>
      <c r="G275" s="31" t="str">
        <f>VLOOKUP($A275,Questions!$A$2:$X$333,21,0)&amp;""</f>
        <v>Yes</v>
      </c>
      <c r="H275" s="186"/>
      <c r="I275" s="46" t="str">
        <f>VLOOKUP($A275,Questions!$A$2:$X$333,23,0)&amp;""</f>
        <v>Standard Importance</v>
      </c>
      <c r="J275" s="186"/>
      <c r="K275" s="49" t="b">
        <v>0</v>
      </c>
      <c r="L275" s="1"/>
    </row>
    <row r="276" spans="1:12" s="30" customFormat="1" ht="90" x14ac:dyDescent="0.2">
      <c r="A276" s="19" t="str">
        <f>'Case-Specific'!A52</f>
        <v>HIPA-20</v>
      </c>
      <c r="B276" s="20" t="str">
        <f>VLOOKUP($A276,'Case-Specific'!$A$13:$E$85,2,0)&amp;""</f>
        <v>Do accounts used for solution provider-supplied remote support abide by the same authentication policies and access logging as the rest of the system?</v>
      </c>
      <c r="C276" s="46" t="str">
        <f>VLOOKUP($A276,'Case-Specific'!$A$13:$E$85,3,0)&amp;""</f>
        <v/>
      </c>
      <c r="D276" s="35" t="str">
        <f>IF(LEFT(VLOOKUP($A276,'Case-Specific'!$A$13:$E$85,5,0),21)='Auto Responses'!$A$32,'Auto Responses'!$A$33,VLOOKUP($A276,'Case-Specific'!$A$13:$E$85,4,0))&amp;""</f>
        <v>This question does not apply.</v>
      </c>
      <c r="E276" s="331" t="str">
        <f>VLOOKUP($A276,'Case-Specific'!$A$13:$E$85,5,0)&amp;""</f>
        <v>Based on the response to REQU-05 on the "START HERE" tab, this question does not apply to this product or service.</v>
      </c>
      <c r="F276" s="196"/>
      <c r="G276" s="31" t="str">
        <f>VLOOKUP($A276,Questions!$A$2:$X$333,21,0)&amp;""</f>
        <v>Yes</v>
      </c>
      <c r="H276" s="186"/>
      <c r="I276" s="46" t="str">
        <f>VLOOKUP($A276,Questions!$A$2:$X$333,23,0)&amp;""</f>
        <v>Standard Importance</v>
      </c>
      <c r="J276" s="186"/>
      <c r="K276" s="49" t="b">
        <v>0</v>
      </c>
      <c r="L276" s="1"/>
    </row>
    <row r="277" spans="1:12" s="30" customFormat="1" ht="90" x14ac:dyDescent="0.2">
      <c r="A277" s="19" t="str">
        <f>'Case-Specific'!A53</f>
        <v>HIPA-21</v>
      </c>
      <c r="B277" s="20" t="str">
        <f>VLOOKUP($A277,'Case-Specific'!$A$13:$E$85,2,0)&amp;""</f>
        <v>Does the application log record access including specific user, date/time of access, and originating IP or device?</v>
      </c>
      <c r="C277" s="46" t="str">
        <f>VLOOKUP($A277,'Case-Specific'!$A$13:$E$85,3,0)&amp;""</f>
        <v/>
      </c>
      <c r="D277" s="35" t="str">
        <f>IF(LEFT(VLOOKUP($A277,'Case-Specific'!$A$13:$E$85,5,0),21)='Auto Responses'!$A$32,'Auto Responses'!$A$33,VLOOKUP($A277,'Case-Specific'!$A$13:$E$85,4,0))&amp;""</f>
        <v>This question does not apply.</v>
      </c>
      <c r="E277" s="331" t="str">
        <f>VLOOKUP($A277,'Case-Specific'!$A$13:$E$85,5,0)&amp;""</f>
        <v>Based on the response to REQU-05 on the "START HERE" tab, this question does not apply to this product or service.</v>
      </c>
      <c r="F277" s="196"/>
      <c r="G277" s="31" t="str">
        <f>VLOOKUP($A277,Questions!$A$2:$X$333,21,0)&amp;""</f>
        <v>Yes</v>
      </c>
      <c r="H277" s="186"/>
      <c r="I277" s="46" t="str">
        <f>VLOOKUP($A277,Questions!$A$2:$X$333,23,0)&amp;""</f>
        <v>Standard Importance</v>
      </c>
      <c r="J277" s="186"/>
      <c r="K277" s="49" t="b">
        <v>0</v>
      </c>
      <c r="L277" s="1"/>
    </row>
    <row r="278" spans="1:12" s="30" customFormat="1" ht="90" x14ac:dyDescent="0.2">
      <c r="A278" s="19" t="str">
        <f>'Case-Specific'!A54</f>
        <v>HIPA-22</v>
      </c>
      <c r="B278" s="20" t="str">
        <f>VLOOKUP($A278,'Case-Specific'!$A$13:$E$85,2,0)&amp;""</f>
        <v>Does the application log administrative activity, such as user account access changes and password changes, including specific user, date/time of changes, and originating IP or device?</v>
      </c>
      <c r="C278" s="46" t="str">
        <f>VLOOKUP($A278,'Case-Specific'!$A$13:$E$85,3,0)&amp;""</f>
        <v/>
      </c>
      <c r="D278" s="35" t="str">
        <f>IF(LEFT(VLOOKUP($A278,'Case-Specific'!$A$13:$E$85,5,0),21)='Auto Responses'!$A$32,'Auto Responses'!$A$33,VLOOKUP($A278,'Case-Specific'!$A$13:$E$85,4,0))&amp;""</f>
        <v>This question does not apply.</v>
      </c>
      <c r="E278" s="331" t="str">
        <f>VLOOKUP($A278,'Case-Specific'!$A$13:$E$85,5,0)&amp;""</f>
        <v>Based on the response to REQU-05 on the "START HERE" tab, this question does not apply to this product or service.</v>
      </c>
      <c r="F278" s="196"/>
      <c r="G278" s="31" t="str">
        <f>VLOOKUP($A278,Questions!$A$2:$X$333,21,0)&amp;""</f>
        <v>Yes</v>
      </c>
      <c r="H278" s="186"/>
      <c r="I278" s="46" t="str">
        <f>VLOOKUP($A278,Questions!$A$2:$X$333,23,0)&amp;""</f>
        <v>Standard Importance</v>
      </c>
      <c r="J278" s="186"/>
      <c r="K278" s="49" t="b">
        <v>0</v>
      </c>
      <c r="L278" s="1"/>
    </row>
    <row r="279" spans="1:12" s="30" customFormat="1" ht="90" x14ac:dyDescent="0.2">
      <c r="A279" s="19" t="str">
        <f>'Case-Specific'!A55</f>
        <v>HIPA-23</v>
      </c>
      <c r="B279" s="20" t="str">
        <f>VLOOKUP($A279,'Case-Specific'!$A$13:$E$85,2,0)&amp;""</f>
        <v>Do you retain logs for at least as long as required by HIPAA regulations?</v>
      </c>
      <c r="C279" s="46" t="str">
        <f>VLOOKUP($A279,'Case-Specific'!$A$13:$E$85,3,0)&amp;""</f>
        <v/>
      </c>
      <c r="D279" s="35" t="str">
        <f>IF(LEFT(VLOOKUP($A279,'Case-Specific'!$A$13:$E$85,5,0),21)='Auto Responses'!$A$32,'Auto Responses'!$A$33,VLOOKUP($A279,'Case-Specific'!$A$13:$E$85,4,0))&amp;""</f>
        <v>This question does not apply.</v>
      </c>
      <c r="E279" s="331" t="str">
        <f>VLOOKUP($A279,'Case-Specific'!$A$13:$E$85,5,0)&amp;""</f>
        <v>Based on the response to REQU-05 on the "START HERE" tab, this question does not apply to this product or service.</v>
      </c>
      <c r="F279" s="196"/>
      <c r="G279" s="31" t="str">
        <f>VLOOKUP($A279,Questions!$A$2:$X$333,21,0)&amp;""</f>
        <v>Yes</v>
      </c>
      <c r="H279" s="186"/>
      <c r="I279" s="46" t="str">
        <f>VLOOKUP($A279,Questions!$A$2:$X$333,23,0)&amp;""</f>
        <v>Standard Importance</v>
      </c>
      <c r="J279" s="186"/>
      <c r="K279" s="49" t="b">
        <v>0</v>
      </c>
      <c r="L279" s="1"/>
    </row>
    <row r="280" spans="1:12" s="30" customFormat="1" ht="90" x14ac:dyDescent="0.2">
      <c r="A280" s="19" t="str">
        <f>'Case-Specific'!A56</f>
        <v>HIPA-24</v>
      </c>
      <c r="B280" s="20" t="str">
        <f>VLOOKUP($A280,'Case-Specific'!$A$13:$E$85,2,0)&amp;""</f>
        <v>Can the application logs be archived?</v>
      </c>
      <c r="C280" s="46" t="str">
        <f>VLOOKUP($A280,'Case-Specific'!$A$13:$E$85,3,0)&amp;""</f>
        <v/>
      </c>
      <c r="D280" s="35" t="str">
        <f>IF(LEFT(VLOOKUP($A280,'Case-Specific'!$A$13:$E$85,5,0),21)='Auto Responses'!$A$32,'Auto Responses'!$A$33,VLOOKUP($A280,'Case-Specific'!$A$13:$E$85,4,0))&amp;""</f>
        <v>This question does not apply.</v>
      </c>
      <c r="E280" s="331" t="str">
        <f>VLOOKUP($A280,'Case-Specific'!$A$13:$E$85,5,0)&amp;""</f>
        <v>Based on the response to REQU-05 on the "START HERE" tab, this question does not apply to this product or service.</v>
      </c>
      <c r="F280" s="196"/>
      <c r="G280" s="31" t="str">
        <f>VLOOKUP($A280,Questions!$A$2:$X$333,21,0)&amp;""</f>
        <v>Yes</v>
      </c>
      <c r="H280" s="186"/>
      <c r="I280" s="46" t="str">
        <f>VLOOKUP($A280,Questions!$A$2:$X$333,23,0)&amp;""</f>
        <v>Standard Importance</v>
      </c>
      <c r="J280" s="186"/>
      <c r="K280" s="49" t="b">
        <v>0</v>
      </c>
      <c r="L280" s="1"/>
    </row>
    <row r="281" spans="1:12" s="30" customFormat="1" ht="90" x14ac:dyDescent="0.2">
      <c r="A281" s="19" t="str">
        <f>'Case-Specific'!A57</f>
        <v>HIPA-25</v>
      </c>
      <c r="B281" s="20" t="str">
        <f>VLOOKUP($A281,'Case-Specific'!$A$13:$E$85,2,0)&amp;""</f>
        <v>Can the application logs be saved externally?</v>
      </c>
      <c r="C281" s="46" t="str">
        <f>VLOOKUP($A281,'Case-Specific'!$A$13:$E$85,3,0)&amp;""</f>
        <v/>
      </c>
      <c r="D281" s="35" t="str">
        <f>IF(LEFT(VLOOKUP($A281,'Case-Specific'!$A$13:$E$85,5,0),21)='Auto Responses'!$A$32,'Auto Responses'!$A$33,VLOOKUP($A281,'Case-Specific'!$A$13:$E$85,4,0))&amp;""</f>
        <v>This question does not apply.</v>
      </c>
      <c r="E281" s="331" t="str">
        <f>VLOOKUP($A281,'Case-Specific'!$A$13:$E$85,5,0)&amp;""</f>
        <v>Based on the response to REQU-05 on the "START HERE" tab, this question does not apply to this product or service.</v>
      </c>
      <c r="F281" s="196"/>
      <c r="G281" s="31" t="str">
        <f>VLOOKUP($A281,Questions!$A$2:$X$333,21,0)&amp;""</f>
        <v>Yes</v>
      </c>
      <c r="H281" s="186"/>
      <c r="I281" s="46" t="str">
        <f>VLOOKUP($A281,Questions!$A$2:$X$333,23,0)&amp;""</f>
        <v>Standard Importance</v>
      </c>
      <c r="J281" s="186"/>
      <c r="K281" s="49" t="b">
        <v>0</v>
      </c>
      <c r="L281" s="1"/>
    </row>
    <row r="282" spans="1:12" s="30" customFormat="1" ht="90" x14ac:dyDescent="0.2">
      <c r="A282" s="19" t="str">
        <f>'Case-Specific'!A58</f>
        <v>HIPA-26</v>
      </c>
      <c r="B282" s="20" t="str">
        <f>VLOOKUP($A282,'Case-Specific'!$A$13:$E$85,2,0)&amp;""</f>
        <v>Do you have a disaster recovery plan and emergency mode operation plan?</v>
      </c>
      <c r="C282" s="46" t="str">
        <f>VLOOKUP($A282,'Case-Specific'!$A$13:$E$85,3,0)&amp;""</f>
        <v/>
      </c>
      <c r="D282" s="35" t="str">
        <f>IF(LEFT(VLOOKUP($A282,'Case-Specific'!$A$13:$E$85,5,0),21)='Auto Responses'!$A$32,'Auto Responses'!$A$33,VLOOKUP($A282,'Case-Specific'!$A$13:$E$85,4,0))&amp;""</f>
        <v>This question does not apply.</v>
      </c>
      <c r="E282" s="331" t="str">
        <f>VLOOKUP($A282,'Case-Specific'!$A$13:$E$85,5,0)&amp;""</f>
        <v>Based on the response to REQU-05 on the "START HERE" tab, this question does not apply to this product or service.</v>
      </c>
      <c r="F282" s="196"/>
      <c r="G282" s="31" t="str">
        <f>VLOOKUP($A282,Questions!$A$2:$X$333,21,0)&amp;""</f>
        <v>Yes</v>
      </c>
      <c r="H282" s="186"/>
      <c r="I282" s="46" t="str">
        <f>VLOOKUP($A282,Questions!$A$2:$X$333,23,0)&amp;""</f>
        <v>Standard Importance</v>
      </c>
      <c r="J282" s="186"/>
      <c r="K282" s="49" t="b">
        <v>0</v>
      </c>
      <c r="L282" s="1"/>
    </row>
    <row r="283" spans="1:12" s="30" customFormat="1" ht="90" x14ac:dyDescent="0.2">
      <c r="A283" s="19" t="str">
        <f>'Case-Specific'!A59</f>
        <v>HIPA-27</v>
      </c>
      <c r="B283" s="20" t="str">
        <f>VLOOKUP($A283,'Case-Specific'!$A$13:$E$85,2,0)&amp;""</f>
        <v>Can you provide a HIPAA compliance attestation document?</v>
      </c>
      <c r="C283" s="46" t="str">
        <f>VLOOKUP($A283,'Case-Specific'!$A$13:$E$85,3,0)&amp;""</f>
        <v/>
      </c>
      <c r="D283" s="35" t="str">
        <f>IF(LEFT(VLOOKUP($A283,'Case-Specific'!$A$13:$E$85,5,0),21)='Auto Responses'!$A$32,'Auto Responses'!$A$33,VLOOKUP($A283,'Case-Specific'!$A$13:$E$85,4,0))&amp;""</f>
        <v>This question does not apply.</v>
      </c>
      <c r="E283" s="331" t="str">
        <f>VLOOKUP($A283,'Case-Specific'!$A$13:$E$85,5,0)&amp;""</f>
        <v>Based on the response to REQU-05 on the "START HERE" tab, this question does not apply to this product or service.</v>
      </c>
      <c r="F283" s="196"/>
      <c r="G283" s="31" t="str">
        <f>VLOOKUP($A283,Questions!$A$2:$X$333,21,0)&amp;""</f>
        <v>Yes</v>
      </c>
      <c r="H283" s="186"/>
      <c r="I283" s="46" t="str">
        <f>VLOOKUP($A283,Questions!$A$2:$X$333,23,0)&amp;""</f>
        <v>Standard Importance</v>
      </c>
      <c r="J283" s="186"/>
      <c r="K283" s="49" t="b">
        <v>0</v>
      </c>
      <c r="L283" s="1"/>
    </row>
    <row r="284" spans="1:12" s="30" customFormat="1" ht="90" x14ac:dyDescent="0.2">
      <c r="A284" s="19" t="str">
        <f>'Case-Specific'!A60</f>
        <v>HIPA-28</v>
      </c>
      <c r="B284" s="20" t="str">
        <f>VLOOKUP($A284,'Case-Specific'!$A$13:$E$85,2,0)&amp;""</f>
        <v>Are you willing to enter into a Business Associate Agreement (BAA)?</v>
      </c>
      <c r="C284" s="46" t="str">
        <f>VLOOKUP($A284,'Case-Specific'!$A$13:$E$85,3,0)&amp;""</f>
        <v/>
      </c>
      <c r="D284" s="35" t="str">
        <f>IF(LEFT(VLOOKUP($A284,'Case-Specific'!$A$13:$E$85,5,0),21)='Auto Responses'!$A$32,'Auto Responses'!$A$33,VLOOKUP($A284,'Case-Specific'!$A$13:$E$85,4,0))&amp;""</f>
        <v>This question does not apply.</v>
      </c>
      <c r="E284" s="331" t="str">
        <f>VLOOKUP($A284,'Case-Specific'!$A$13:$E$85,5,0)&amp;""</f>
        <v>Based on the response to REQU-05 on the "START HERE" tab, this question does not apply to this product or service.</v>
      </c>
      <c r="F284" s="196"/>
      <c r="G284" s="31" t="str">
        <f>VLOOKUP($A284,Questions!$A$2:$X$333,21,0)&amp;""</f>
        <v>Yes</v>
      </c>
      <c r="H284" s="186"/>
      <c r="I284" s="46" t="str">
        <f>VLOOKUP($A284,Questions!$A$2:$X$333,23,0)&amp;""</f>
        <v>Standard Importance</v>
      </c>
      <c r="J284" s="186"/>
      <c r="K284" s="49" t="b">
        <v>0</v>
      </c>
      <c r="L284" s="1"/>
    </row>
    <row r="285" spans="1:12" s="30" customFormat="1" ht="90" x14ac:dyDescent="0.2">
      <c r="A285" s="19" t="str">
        <f>'Case-Specific'!A61</f>
        <v>HIPA-29</v>
      </c>
      <c r="B285" s="20" t="str">
        <f>VLOOKUP($A285,'Case-Specific'!$A$13:$E$85,2,0)&amp;""</f>
        <v>Do your data backup and retention policies and practices meet HIPAA requirements?</v>
      </c>
      <c r="C285" s="46" t="str">
        <f>VLOOKUP($A285,'Case-Specific'!$A$13:$E$85,3,0)&amp;""</f>
        <v/>
      </c>
      <c r="D285" s="35" t="str">
        <f>IF(LEFT(VLOOKUP($A285,'Case-Specific'!$A$13:$E$85,5,0),21)='Auto Responses'!$A$32,'Auto Responses'!$A$33,VLOOKUP($A285,'Case-Specific'!$A$13:$E$85,4,0))&amp;""</f>
        <v>This question does not apply.</v>
      </c>
      <c r="E285" s="331" t="str">
        <f>VLOOKUP($A285,'Case-Specific'!$A$13:$E$85,5,0)&amp;""</f>
        <v>Based on the response to REQU-05 on the "START HERE" tab, this question does not apply to this product or service.</v>
      </c>
      <c r="F285" s="196"/>
      <c r="G285" s="31" t="str">
        <f>VLOOKUP($A285,Questions!$A$2:$X$333,21,0)&amp;""</f>
        <v>Yes</v>
      </c>
      <c r="H285" s="186"/>
      <c r="I285" s="46" t="str">
        <f>VLOOKUP($A285,Questions!$A$2:$X$333,23,0)&amp;""</f>
        <v>Minor Importance</v>
      </c>
      <c r="J285" s="186"/>
      <c r="K285" s="49" t="b">
        <v>0</v>
      </c>
      <c r="L285" s="1"/>
    </row>
    <row r="286" spans="1:12" s="1" customFormat="1" ht="18" x14ac:dyDescent="0.2">
      <c r="A286" s="64" t="str">
        <f>VLOOKUP(LEFT($A287,4),'Auto Responses'!$N$4:$O$38,2,0)&amp;""</f>
        <v xml:space="preserve"> Payment Card Industry Data Security Standard (PCI DSS)</v>
      </c>
      <c r="B286" s="23"/>
      <c r="C286" s="32"/>
      <c r="D286" s="32"/>
      <c r="E286" s="332"/>
      <c r="F286" s="133" t="s">
        <v>1066</v>
      </c>
      <c r="G286" s="336" t="s">
        <v>904</v>
      </c>
      <c r="H286" s="336" t="s">
        <v>906</v>
      </c>
      <c r="I286" s="336" t="s">
        <v>19</v>
      </c>
      <c r="J286" s="336" t="s">
        <v>891</v>
      </c>
      <c r="K286" s="32"/>
    </row>
    <row r="287" spans="1:12" s="30" customFormat="1" ht="90" x14ac:dyDescent="0.2">
      <c r="A287" s="19" t="str">
        <f>'Case-Specific'!A63</f>
        <v>PCID-01</v>
      </c>
      <c r="B287" s="20" t="str">
        <f>VLOOKUP($A287,'Case-Specific'!$A$13:$E$85,2,0)&amp;""</f>
        <v>Do you have a current, executed within the past year, Attestation of Compliance (AoC) or Report on Compliance (RoC)?*</v>
      </c>
      <c r="C287" s="46" t="str">
        <f>VLOOKUP($A287,'Case-Specific'!$A$13:$E$85,3,0)&amp;""</f>
        <v/>
      </c>
      <c r="D287" s="35" t="str">
        <f>IF(LEFT(VLOOKUP($A287,'Case-Specific'!$A$13:$E$85,5,0),21)='Auto Responses'!$A$32,'Auto Responses'!$A$33,VLOOKUP($A287,'Case-Specific'!$A$13:$E$85,4,0))&amp;""</f>
        <v>This question does not apply.</v>
      </c>
      <c r="E287" s="331" t="str">
        <f>VLOOKUP($A287,'Case-Specific'!$A$13:$E$85,5,0)&amp;""</f>
        <v>Based on the response to REQU-06 on the "START HERE" tab, this question does not apply to this product or service.</v>
      </c>
      <c r="F287" s="196"/>
      <c r="G287" s="31" t="str">
        <f>VLOOKUP($A287,Questions!$A$2:$X$333,21,0)&amp;""</f>
        <v>Yes</v>
      </c>
      <c r="H287" s="186"/>
      <c r="I287" s="46" t="str">
        <f>VLOOKUP($A287,Questions!$A$2:$X$333,23,0)&amp;""</f>
        <v>Critical Importance</v>
      </c>
      <c r="J287" s="186"/>
      <c r="K287" s="49" t="b">
        <v>0</v>
      </c>
      <c r="L287" s="1"/>
    </row>
    <row r="288" spans="1:12" s="30" customFormat="1" ht="90" x14ac:dyDescent="0.2">
      <c r="A288" s="19" t="str">
        <f>'Case-Specific'!A64</f>
        <v>PCID-02</v>
      </c>
      <c r="B288" s="20" t="str">
        <f>VLOOKUP($A288,'Case-Specific'!$A$13:$E$85,2,0)&amp;""</f>
        <v>Is the application listed as an approved Payment Application Data Security Standard (PA-DSS) application?*</v>
      </c>
      <c r="C288" s="46" t="str">
        <f>VLOOKUP($A288,'Case-Specific'!$A$13:$E$85,3,0)&amp;""</f>
        <v/>
      </c>
      <c r="D288" s="35" t="str">
        <f>IF(LEFT(VLOOKUP($A288,'Case-Specific'!$A$13:$E$85,5,0),21)='Auto Responses'!$A$32,'Auto Responses'!$A$33,VLOOKUP($A288,'Case-Specific'!$A$13:$E$85,4,0))&amp;""</f>
        <v>This question does not apply.</v>
      </c>
      <c r="E288" s="331" t="str">
        <f>VLOOKUP($A288,'Case-Specific'!$A$13:$E$85,5,0)&amp;""</f>
        <v>Based on the response to REQU-06 on the "START HERE" tab, this question does not apply to this product or service.</v>
      </c>
      <c r="F288" s="196"/>
      <c r="G288" s="31" t="str">
        <f>VLOOKUP($A288,Questions!$A$2:$X$333,21,0)&amp;""</f>
        <v>No</v>
      </c>
      <c r="H288" s="186"/>
      <c r="I288" s="46" t="str">
        <f>VLOOKUP($A288,Questions!$A$2:$X$333,23,0)&amp;""</f>
        <v>Critical Importance</v>
      </c>
      <c r="J288" s="186"/>
      <c r="K288" s="49" t="b">
        <v>0</v>
      </c>
      <c r="L288" s="1"/>
    </row>
    <row r="289" spans="1:12" s="30" customFormat="1" ht="90" x14ac:dyDescent="0.2">
      <c r="A289" s="19" t="str">
        <f>'Case-Specific'!A65</f>
        <v>PCID-03</v>
      </c>
      <c r="B289" s="20" t="str">
        <f>VLOOKUP($A289,'Case-Specific'!$A$13:$E$85,2,0)&amp;""</f>
        <v>Does the system or solutions use a third party to collect, store, process, or transmit cardholder (payment/credit/debt card) data?*</v>
      </c>
      <c r="C289" s="46" t="str">
        <f>VLOOKUP($A289,'Case-Specific'!$A$13:$E$85,3,0)&amp;""</f>
        <v/>
      </c>
      <c r="D289" s="35" t="str">
        <f>IF(LEFT(VLOOKUP($A289,'Case-Specific'!$A$13:$E$85,5,0),21)='Auto Responses'!$A$32,'Auto Responses'!$A$33,VLOOKUP($A289,'Case-Specific'!$A$13:$E$85,4,0))&amp;""</f>
        <v>This question does not apply.</v>
      </c>
      <c r="E289" s="331" t="str">
        <f>VLOOKUP($A289,'Case-Specific'!$A$13:$E$85,5,0)&amp;""</f>
        <v>Based on the response to REQU-06 on the "START HERE" tab, this question does not apply to this product or service.</v>
      </c>
      <c r="F289" s="196"/>
      <c r="G289" s="31" t="str">
        <f>VLOOKUP($A289,Questions!$A$2:$X$333,21,0)&amp;""</f>
        <v>No</v>
      </c>
      <c r="H289" s="186"/>
      <c r="I289" s="46" t="str">
        <f>VLOOKUP($A289,Questions!$A$2:$X$333,23,0)&amp;""</f>
        <v>Critical Importance</v>
      </c>
      <c r="J289" s="186"/>
      <c r="K289" s="49" t="b">
        <v>0</v>
      </c>
      <c r="L289" s="1"/>
    </row>
    <row r="290" spans="1:12" s="30" customFormat="1" ht="90" x14ac:dyDescent="0.2">
      <c r="A290" s="19" t="str">
        <f>'Case-Specific'!A66</f>
        <v>PCID-04</v>
      </c>
      <c r="B290" s="20" t="str">
        <f>VLOOKUP($A290,'Case-Specific'!$A$13:$E$85,2,0)&amp;""</f>
        <v>Do your systems or solutions store, process, or transmit cardholder (payment/credit/debt card) data?</v>
      </c>
      <c r="C290" s="46" t="str">
        <f>VLOOKUP($A290,'Case-Specific'!$A$13:$E$85,3,0)&amp;""</f>
        <v/>
      </c>
      <c r="D290" s="35" t="str">
        <f>IF(LEFT(VLOOKUP($A290,'Case-Specific'!$A$13:$E$85,5,0),21)='Auto Responses'!$A$32,'Auto Responses'!$A$33,VLOOKUP($A290,'Case-Specific'!$A$13:$E$85,4,0))&amp;""</f>
        <v>This question does not apply.</v>
      </c>
      <c r="E290" s="331" t="str">
        <f>VLOOKUP($A290,'Case-Specific'!$A$13:$E$85,5,0)&amp;""</f>
        <v>Based on the response to REQU-06 on the "START HERE" tab, this question does not apply to this product or service.</v>
      </c>
      <c r="F290" s="196"/>
      <c r="G290" s="31" t="str">
        <f>VLOOKUP($A290,Questions!$A$2:$X$333,21,0)&amp;""</f>
        <v>Yes</v>
      </c>
      <c r="H290" s="186"/>
      <c r="I290" s="46" t="str">
        <f>VLOOKUP($A290,Questions!$A$2:$X$333,23,0)&amp;""</f>
        <v>Standard Importance</v>
      </c>
      <c r="J290" s="186"/>
      <c r="K290" s="49" t="b">
        <v>0</v>
      </c>
      <c r="L290" s="1"/>
    </row>
    <row r="291" spans="1:12" s="30" customFormat="1" ht="90" x14ac:dyDescent="0.2">
      <c r="A291" s="19" t="str">
        <f>'Case-Specific'!A67</f>
        <v>PCID-05</v>
      </c>
      <c r="B291" s="20" t="str">
        <f>VLOOKUP($A291,'Case-Specific'!$A$13:$E$85,2,0)&amp;""</f>
        <v>Are you compliant with the Payment Card Industry Data Security Standard (PCI DSS)?</v>
      </c>
      <c r="C291" s="46" t="str">
        <f>VLOOKUP($A291,'Case-Specific'!$A$13:$E$85,3,0)&amp;""</f>
        <v/>
      </c>
      <c r="D291" s="35" t="str">
        <f>IF(LEFT(VLOOKUP($A291,'Case-Specific'!$A$13:$E$85,5,0),21)='Auto Responses'!$A$32,'Auto Responses'!$A$33,VLOOKUP($A291,'Case-Specific'!$A$13:$E$85,4,0))&amp;""</f>
        <v>This question does not apply.</v>
      </c>
      <c r="E291" s="331" t="str">
        <f>VLOOKUP($A291,'Case-Specific'!$A$13:$E$85,5,0)&amp;""</f>
        <v>Based on the response to REQU-06 on the "START HERE" tab, this question does not apply to this product or service.</v>
      </c>
      <c r="F291" s="196"/>
      <c r="G291" s="31" t="str">
        <f>VLOOKUP($A291,Questions!$A$2:$X$333,21,0)&amp;""</f>
        <v>Yes</v>
      </c>
      <c r="H291" s="186"/>
      <c r="I291" s="46" t="str">
        <f>VLOOKUP($A291,Questions!$A$2:$X$333,23,0)&amp;""</f>
        <v>Standard Importance</v>
      </c>
      <c r="J291" s="186"/>
      <c r="K291" s="49" t="b">
        <v>0</v>
      </c>
      <c r="L291" s="1"/>
    </row>
    <row r="292" spans="1:12" s="30" customFormat="1" ht="90" x14ac:dyDescent="0.2">
      <c r="A292" s="19" t="str">
        <f>'Case-Specific'!A68</f>
        <v>PCID-06</v>
      </c>
      <c r="B292" s="20" t="str">
        <f>VLOOKUP($A292,'Case-Specific'!$A$13:$E$85,2,0)&amp;""</f>
        <v>Are you classified as a service provider?</v>
      </c>
      <c r="C292" s="46" t="str">
        <f>VLOOKUP($A292,'Case-Specific'!$A$13:$E$85,3,0)&amp;""</f>
        <v/>
      </c>
      <c r="D292" s="35" t="str">
        <f>IF(LEFT(VLOOKUP($A292,'Case-Specific'!$A$13:$E$85,5,0),21)='Auto Responses'!$A$32,'Auto Responses'!$A$33,VLOOKUP($A292,'Case-Specific'!$A$13:$E$85,4,0))&amp;""</f>
        <v>This question does not apply.</v>
      </c>
      <c r="E292" s="331" t="str">
        <f>VLOOKUP($A292,'Case-Specific'!$A$13:$E$85,5,0)&amp;""</f>
        <v>Based on the response to REQU-06 on the "START HERE" tab, this question does not apply to this product or service.</v>
      </c>
      <c r="F292" s="196"/>
      <c r="G292" s="31" t="str">
        <f>VLOOKUP($A292,Questions!$A$2:$X$333,21,0)&amp;""</f>
        <v>Yes</v>
      </c>
      <c r="H292" s="186"/>
      <c r="I292" s="46" t="str">
        <f>VLOOKUP($A292,Questions!$A$2:$X$333,23,0)&amp;""</f>
        <v>Standard Importance</v>
      </c>
      <c r="J292" s="186"/>
      <c r="K292" s="49" t="b">
        <v>0</v>
      </c>
      <c r="L292" s="1"/>
    </row>
    <row r="293" spans="1:12" s="30" customFormat="1" ht="90" x14ac:dyDescent="0.2">
      <c r="A293" s="19" t="str">
        <f>'Case-Specific'!A69</f>
        <v>PCID-07</v>
      </c>
      <c r="B293" s="20" t="str">
        <f>VLOOKUP($A293,'Case-Specific'!$A$13:$E$85,2,0)&amp;""</f>
        <v>Are you on the list of Visa approved service providers?</v>
      </c>
      <c r="C293" s="46" t="str">
        <f>VLOOKUP($A293,'Case-Specific'!$A$13:$E$85,3,0)&amp;""</f>
        <v/>
      </c>
      <c r="D293" s="35" t="str">
        <f>IF(LEFT(VLOOKUP($A293,'Case-Specific'!$A$13:$E$85,5,0),21)='Auto Responses'!$A$32,'Auto Responses'!$A$33,VLOOKUP($A293,'Case-Specific'!$A$13:$E$85,4,0))&amp;""</f>
        <v>This question does not apply.</v>
      </c>
      <c r="E293" s="331" t="str">
        <f>VLOOKUP($A293,'Case-Specific'!$A$13:$E$85,5,0)&amp;""</f>
        <v>Based on the response to REQU-06 on the "START HERE" tab, this question does not apply to this product or service.</v>
      </c>
      <c r="F293" s="196"/>
      <c r="G293" s="31" t="str">
        <f>VLOOKUP($A293,Questions!$A$2:$X$333,21,0)&amp;""</f>
        <v>Yes</v>
      </c>
      <c r="H293" s="186"/>
      <c r="I293" s="46" t="str">
        <f>VLOOKUP($A293,Questions!$A$2:$X$333,23,0)&amp;""</f>
        <v>Standard Importance</v>
      </c>
      <c r="J293" s="186"/>
      <c r="K293" s="49" t="b">
        <v>0</v>
      </c>
      <c r="L293" s="1"/>
    </row>
    <row r="294" spans="1:12" s="30" customFormat="1" ht="90" x14ac:dyDescent="0.2">
      <c r="A294" s="19" t="str">
        <f>'Case-Specific'!A70</f>
        <v>PCID-08</v>
      </c>
      <c r="B294" s="20" t="str">
        <f>VLOOKUP($A294,'Case-Specific'!$A$13:$E$85,2,0)&amp;""</f>
        <v>Are you classified as a merchant? If so, what level (1, 2, 3, 4)?</v>
      </c>
      <c r="C294" s="46" t="str">
        <f>VLOOKUP($A294,'Case-Specific'!$A$13:$E$85,3,0)&amp;""</f>
        <v/>
      </c>
      <c r="D294" s="35" t="str">
        <f>IF(LEFT(VLOOKUP($A294,'Case-Specific'!$A$13:$E$85,5,0),21)='Auto Responses'!$A$32,'Auto Responses'!$A$33,VLOOKUP($A294,'Case-Specific'!$A$13:$E$85,4,0))&amp;""</f>
        <v>This question does not apply.</v>
      </c>
      <c r="E294" s="331" t="str">
        <f>VLOOKUP($A294,'Case-Specific'!$A$13:$E$85,5,0)&amp;""</f>
        <v>Based on the response to REQU-06 on the "START HERE" tab, this question does not apply to this product or service.</v>
      </c>
      <c r="F294" s="196"/>
      <c r="G294" s="31" t="str">
        <f>VLOOKUP($A294,Questions!$A$2:$X$333,21,0)&amp;""</f>
        <v>Yes</v>
      </c>
      <c r="H294" s="186"/>
      <c r="I294" s="46" t="str">
        <f>VLOOKUP($A294,Questions!$A$2:$X$333,23,0)&amp;""</f>
        <v>Standard Importance</v>
      </c>
      <c r="J294" s="186"/>
      <c r="K294" s="49" t="b">
        <v>0</v>
      </c>
      <c r="L294" s="1"/>
    </row>
    <row r="295" spans="1:12" s="30" customFormat="1" ht="90" x14ac:dyDescent="0.2">
      <c r="A295" s="19" t="str">
        <f>'Case-Specific'!A71</f>
        <v>PCID-09</v>
      </c>
      <c r="B295" s="20" t="str">
        <f>VLOOKUP($A295,'Case-Specific'!$A$13:$E$85,2,0)&amp;""</f>
        <v>Describe the architecture employed by the system to verify and authorize credit card transactions.</v>
      </c>
      <c r="C295" s="306" t="str">
        <f>VLOOKUP($A295,'Case-Specific'!$A$13:$E$85,3,0)&amp;""</f>
        <v/>
      </c>
      <c r="D295" s="305" t="str">
        <f>IF(LEFT(VLOOKUP($A295,'Case-Specific'!$A$13:$E$85,5,0),21)='Auto Responses'!$A$32,'Auto Responses'!$A$33,VLOOKUP($A295,'Case-Specific'!$A$13:$E$85,4,0))&amp;""</f>
        <v>This question does not apply.</v>
      </c>
      <c r="E295" s="331" t="str">
        <f>VLOOKUP($A295,'Case-Specific'!$A$13:$E$85,5,0)&amp;""</f>
        <v>Based on the response to REQU-06 on the "START HERE" tab, this question does not apply to this product or service.</v>
      </c>
      <c r="F295" s="196"/>
      <c r="G295" s="31" t="str">
        <f>VLOOKUP($A295,Questions!$A$2:$X$333,21,0)&amp;""</f>
        <v>Not scored</v>
      </c>
      <c r="H295" s="186"/>
      <c r="I295" s="46" t="str">
        <f>VLOOKUP($A295,Questions!$A$2:$X$333,23,0)&amp;""</f>
        <v/>
      </c>
      <c r="J295" s="186"/>
      <c r="K295" s="49" t="b">
        <v>0</v>
      </c>
      <c r="L295" s="1"/>
    </row>
    <row r="296" spans="1:12" s="30" customFormat="1" ht="90" x14ac:dyDescent="0.2">
      <c r="A296" s="19" t="str">
        <f>'Case-Specific'!A72</f>
        <v>PCID-10</v>
      </c>
      <c r="B296" s="20" t="str">
        <f>VLOOKUP($A296,'Case-Specific'!$A$13:$E$85,2,0)&amp;""</f>
        <v>What payment processors/gateways does the system support?</v>
      </c>
      <c r="C296" s="46" t="str">
        <f>VLOOKUP($A296,'Case-Specific'!$A$13:$E$85,3,0)&amp;""</f>
        <v/>
      </c>
      <c r="D296" s="35" t="str">
        <f>IF(LEFT(VLOOKUP($A296,'Case-Specific'!$A$13:$E$85,5,0),21)='Auto Responses'!$A$32,'Auto Responses'!$A$33,VLOOKUP($A296,'Case-Specific'!$A$13:$E$85,4,0))&amp;""</f>
        <v>This question does not apply.</v>
      </c>
      <c r="E296" s="331" t="str">
        <f>VLOOKUP($A296,'Case-Specific'!$A$13:$E$85,5,0)&amp;""</f>
        <v>Based on the response to REQU-06 on the "START HERE" tab, this question does not apply to this product or service.</v>
      </c>
      <c r="F296" s="196"/>
      <c r="G296" s="31" t="str">
        <f>VLOOKUP($A296,Questions!$A$2:$X$333,21,0)&amp;""</f>
        <v>Not scored</v>
      </c>
      <c r="H296" s="186"/>
      <c r="I296" s="46" t="str">
        <f>VLOOKUP($A296,Questions!$A$2:$X$333,23,0)&amp;""</f>
        <v/>
      </c>
      <c r="J296" s="186"/>
      <c r="K296" s="49" t="b">
        <v>0</v>
      </c>
      <c r="L296" s="1"/>
    </row>
    <row r="297" spans="1:12" s="30" customFormat="1" ht="90" x14ac:dyDescent="0.2">
      <c r="A297" s="19" t="str">
        <f>'Case-Specific'!A73</f>
        <v>PCID-11</v>
      </c>
      <c r="B297" s="20" t="str">
        <f>VLOOKUP($A297,'Case-Specific'!$A$13:$E$85,2,0)&amp;""</f>
        <v>Can the application be installed in a PCI DSS–compliant manner?</v>
      </c>
      <c r="C297" s="46" t="str">
        <f>VLOOKUP($A297,'Case-Specific'!$A$13:$E$85,3,0)&amp;""</f>
        <v/>
      </c>
      <c r="D297" s="35" t="str">
        <f>IF(LEFT(VLOOKUP($A297,'Case-Specific'!$A$13:$E$85,5,0),21)='Auto Responses'!$A$32,'Auto Responses'!$A$33,VLOOKUP($A297,'Case-Specific'!$A$13:$E$85,4,0))&amp;""</f>
        <v>This question does not apply.</v>
      </c>
      <c r="E297" s="331" t="str">
        <f>VLOOKUP($A297,'Case-Specific'!$A$13:$E$85,5,0)&amp;""</f>
        <v>Based on the response to REQU-06 on the "START HERE" tab, this question does not apply to this product or service.</v>
      </c>
      <c r="F297" s="196"/>
      <c r="G297" s="31" t="str">
        <f>VLOOKUP($A297,Questions!$A$2:$X$333,21,0)&amp;""</f>
        <v>Yes</v>
      </c>
      <c r="H297" s="186"/>
      <c r="I297" s="46" t="str">
        <f>VLOOKUP($A297,Questions!$A$2:$X$333,23,0)&amp;""</f>
        <v>Minor Importance</v>
      </c>
      <c r="J297" s="186"/>
      <c r="K297" s="49" t="b">
        <v>0</v>
      </c>
      <c r="L297" s="1"/>
    </row>
    <row r="298" spans="1:12" s="30" customFormat="1" ht="90" x14ac:dyDescent="0.2">
      <c r="A298" s="19" t="str">
        <f>'Case-Specific'!A74</f>
        <v>PCID-12</v>
      </c>
      <c r="B298" s="20" t="str">
        <f>VLOOKUP($A298,'Case-Specific'!$A$13:$E$85,2,0)&amp;""</f>
        <v>Include documentation describing the system's abilities to comply with the PCI DSS and any features or capabilities of the system that must be added or changed in order to operate in compliance with the standards.</v>
      </c>
      <c r="C298" s="306" t="str">
        <f>VLOOKUP($A298,'Case-Specific'!$A$13:$E$85,3,0)&amp;""</f>
        <v/>
      </c>
      <c r="D298" s="305" t="str">
        <f>IF(LEFT(VLOOKUP($A298,'Case-Specific'!$A$13:$E$85,5,0),21)='Auto Responses'!$A$32,'Auto Responses'!$A$33,VLOOKUP($A298,'Case-Specific'!$A$13:$E$85,4,0))&amp;""</f>
        <v>This question does not apply.</v>
      </c>
      <c r="E298" s="331" t="str">
        <f>VLOOKUP($A298,'Case-Specific'!$A$13:$E$85,5,0)&amp;""</f>
        <v>Based on the response to REQU-06 on the "START HERE" tab, this question does not apply to this product or service.</v>
      </c>
      <c r="F298" s="196"/>
      <c r="G298" s="31" t="str">
        <f>VLOOKUP($A298,Questions!$A$2:$X$333,21,0)&amp;""</f>
        <v>Not scored</v>
      </c>
      <c r="H298" s="186"/>
      <c r="I298" s="46" t="str">
        <f>VLOOKUP($A298,Questions!$A$2:$X$333,23,0)&amp;""</f>
        <v/>
      </c>
      <c r="J298" s="186"/>
      <c r="K298" s="49" t="b">
        <v>0</v>
      </c>
      <c r="L298" s="1"/>
    </row>
    <row r="299" spans="1:12" s="1" customFormat="1" ht="18" x14ac:dyDescent="0.2">
      <c r="A299" s="64" t="str">
        <f>VLOOKUP(LEFT($A300,4),'Auto Responses'!$N$4:$O$38,2,0)&amp;""</f>
        <v xml:space="preserve"> On-Premises Data Solutions</v>
      </c>
      <c r="B299" s="23"/>
      <c r="C299" s="32"/>
      <c r="D299" s="32"/>
      <c r="E299" s="332"/>
      <c r="F299" s="133" t="s">
        <v>1066</v>
      </c>
      <c r="G299" s="336" t="s">
        <v>904</v>
      </c>
      <c r="H299" s="336" t="s">
        <v>906</v>
      </c>
      <c r="I299" s="336" t="s">
        <v>19</v>
      </c>
      <c r="J299" s="336" t="s">
        <v>891</v>
      </c>
      <c r="K299" s="32"/>
    </row>
    <row r="300" spans="1:12" s="30" customFormat="1" ht="90" x14ac:dyDescent="0.2">
      <c r="A300" s="19" t="str">
        <f>'Case-Specific'!A76</f>
        <v>OPEM-01</v>
      </c>
      <c r="B300" s="20" t="str">
        <f>VLOOKUP($A300,'Case-Specific'!$A$13:$E$85,2,0)&amp;""</f>
        <v>Do you support role-based access control (RBAC) for system administrators?</v>
      </c>
      <c r="C300" s="46" t="str">
        <f>VLOOKUP($A300,'Case-Specific'!$A$13:$E$85,3,0)&amp;""</f>
        <v/>
      </c>
      <c r="D300" s="35" t="str">
        <f>IF(LEFT(VLOOKUP($A300,'Case-Specific'!$A$13:$E$85,5,0),21)='Auto Responses'!$A$32,'Auto Responses'!$A$33,VLOOKUP($A300,'Case-Specific'!$A$13:$E$85,4,0))&amp;""</f>
        <v>This question does not apply.</v>
      </c>
      <c r="E300" s="331" t="str">
        <f>VLOOKUP($A300,'Case-Specific'!$A$13:$E$85,5,0)&amp;""</f>
        <v>Based on the response to REQU-07 on the "START HERE" tab, this question does not apply to this product or service.</v>
      </c>
      <c r="F300" s="196"/>
      <c r="G300" s="31" t="str">
        <f>VLOOKUP($A300,Questions!$A$2:$X$333,21,0)&amp;""</f>
        <v>Yes</v>
      </c>
      <c r="H300" s="186"/>
      <c r="I300" s="46" t="str">
        <f>VLOOKUP($A300,Questions!$A$2:$X$333,23,0)&amp;""</f>
        <v>Standard Importance</v>
      </c>
      <c r="J300" s="186"/>
      <c r="K300" s="49" t="b">
        <v>0</v>
      </c>
      <c r="L300" s="1"/>
    </row>
    <row r="301" spans="1:12" s="30" customFormat="1" ht="90" x14ac:dyDescent="0.2">
      <c r="A301" s="19" t="str">
        <f>'Case-Specific'!A77</f>
        <v>OPEM-02</v>
      </c>
      <c r="B301" s="20" t="str">
        <f>VLOOKUP($A301,'Case-Specific'!$A$13:$E$85,2,0)&amp;""</f>
        <v>Can your employees access customer systems remotely?</v>
      </c>
      <c r="C301" s="46" t="str">
        <f>VLOOKUP($A301,'Case-Specific'!$A$13:$E$85,3,0)&amp;""</f>
        <v/>
      </c>
      <c r="D301" s="35" t="str">
        <f>IF(LEFT(VLOOKUP($A301,'Case-Specific'!$A$13:$E$85,5,0),21)='Auto Responses'!$A$32,'Auto Responses'!$A$33,VLOOKUP($A301,'Case-Specific'!$A$13:$E$85,4,0))&amp;""</f>
        <v>This question does not apply.</v>
      </c>
      <c r="E301" s="331" t="str">
        <f>VLOOKUP($A301,'Case-Specific'!$A$13:$E$85,5,0)&amp;""</f>
        <v>Based on the response to REQU-07 on the "START HERE" tab, this question does not apply to this product or service.</v>
      </c>
      <c r="F301" s="196"/>
      <c r="G301" s="31" t="str">
        <f>VLOOKUP($A301,Questions!$A$2:$X$333,21,0)&amp;""</f>
        <v>No</v>
      </c>
      <c r="H301" s="186"/>
      <c r="I301" s="46" t="str">
        <f>VLOOKUP($A301,Questions!$A$2:$X$333,23,0)&amp;""</f>
        <v>Standard Importance</v>
      </c>
      <c r="J301" s="186"/>
      <c r="K301" s="49" t="b">
        <v>0</v>
      </c>
      <c r="L301" s="1"/>
    </row>
    <row r="302" spans="1:12" s="30" customFormat="1" ht="90" x14ac:dyDescent="0.2">
      <c r="A302" s="19" t="str">
        <f>'Case-Specific'!A78</f>
        <v>OPEM-03</v>
      </c>
      <c r="B302" s="20" t="str">
        <f>VLOOKUP($A302,'Case-Specific'!$A$13:$E$85,2,0)&amp;""</f>
        <v>Can you provide overall system and/or application architecture diagrams including a full description of the data communications architecture for all components of the system?</v>
      </c>
      <c r="C302" s="46" t="str">
        <f>VLOOKUP($A302,'Case-Specific'!$A$13:$E$85,3,0)&amp;""</f>
        <v/>
      </c>
      <c r="D302" s="35" t="str">
        <f>IF(LEFT(VLOOKUP($A302,'Case-Specific'!$A$13:$E$85,5,0),21)='Auto Responses'!$A$32,'Auto Responses'!$A$33,VLOOKUP($A302,'Case-Specific'!$A$13:$E$85,4,0))&amp;""</f>
        <v>This question does not apply.</v>
      </c>
      <c r="E302" s="331" t="str">
        <f>VLOOKUP($A302,'Case-Specific'!$A$13:$E$85,5,0)&amp;""</f>
        <v>Based on the response to REQU-07 on the "START HERE" tab, this question does not apply to this product or service.</v>
      </c>
      <c r="F302" s="196"/>
      <c r="G302" s="31" t="str">
        <f>VLOOKUP($A302,Questions!$A$2:$X$333,21,0)&amp;""</f>
        <v>Yes</v>
      </c>
      <c r="H302" s="186"/>
      <c r="I302" s="46" t="str">
        <f>VLOOKUP($A302,Questions!$A$2:$X$333,23,0)&amp;""</f>
        <v>Standard Importance</v>
      </c>
      <c r="J302" s="186"/>
      <c r="K302" s="49" t="b">
        <v>0</v>
      </c>
      <c r="L302" s="1"/>
    </row>
    <row r="303" spans="1:12" s="30" customFormat="1" ht="90" x14ac:dyDescent="0.2">
      <c r="A303" s="19" t="str">
        <f>'Case-Specific'!A79</f>
        <v>OPEM-04</v>
      </c>
      <c r="B303" s="20" t="str">
        <f>VLOOKUP($A303,'Case-Specific'!$A$13:$E$85,2,0)&amp;""</f>
        <v>Do you require remote management of the system?</v>
      </c>
      <c r="C303" s="46" t="str">
        <f>VLOOKUP($A303,'Case-Specific'!$A$13:$E$85,3,0)&amp;""</f>
        <v/>
      </c>
      <c r="D303" s="35" t="str">
        <f>IF(LEFT(VLOOKUP($A303,'Case-Specific'!$A$13:$E$85,5,0),21)='Auto Responses'!$A$32,'Auto Responses'!$A$33,VLOOKUP($A303,'Case-Specific'!$A$13:$E$85,4,0))&amp;""</f>
        <v>This question does not apply.</v>
      </c>
      <c r="E303" s="331" t="str">
        <f>VLOOKUP($A303,'Case-Specific'!$A$13:$E$85,5,0)&amp;""</f>
        <v>Based on the response to REQU-07 on the "START HERE" tab, this question does not apply to this product or service.</v>
      </c>
      <c r="F303" s="196"/>
      <c r="G303" s="31" t="str">
        <f>VLOOKUP($A303,Questions!$A$2:$X$333,21,0)&amp;""</f>
        <v>No</v>
      </c>
      <c r="H303" s="186"/>
      <c r="I303" s="46" t="str">
        <f>VLOOKUP($A303,Questions!$A$2:$X$333,23,0)&amp;""</f>
        <v>Standard Importance</v>
      </c>
      <c r="J303" s="186"/>
      <c r="K303" s="49" t="b">
        <v>0</v>
      </c>
      <c r="L303" s="1"/>
    </row>
    <row r="304" spans="1:12" s="30" customFormat="1" ht="90" x14ac:dyDescent="0.2">
      <c r="A304" s="19" t="str">
        <f>'Case-Specific'!A80</f>
        <v>OPEM-05</v>
      </c>
      <c r="B304" s="20" t="str">
        <f>VLOOKUP($A304,'Case-Specific'!$A$13:$E$85,2,0)&amp;""</f>
        <v>If you answered "yes" to OPEM-04, are your remote actions and changes logged or otherwise visible to the campus?</v>
      </c>
      <c r="C304" s="46" t="str">
        <f>VLOOKUP($A304,'Case-Specific'!$A$13:$E$85,3,0)&amp;""</f>
        <v/>
      </c>
      <c r="D304" s="35" t="str">
        <f>IF(LEFT(VLOOKUP($A304,'Case-Specific'!$A$13:$E$85,5,0),21)='Auto Responses'!$A$32,'Auto Responses'!$A$33,VLOOKUP($A304,'Case-Specific'!$A$13:$E$85,4,0))&amp;""</f>
        <v>This question does not apply.</v>
      </c>
      <c r="E304" s="331" t="str">
        <f>VLOOKUP($A304,'Case-Specific'!$A$13:$E$85,5,0)&amp;""</f>
        <v>Based on the response to REQU-07 on the "START HERE" tab, this question does not apply to this product or service.</v>
      </c>
      <c r="F304" s="196"/>
      <c r="G304" s="31" t="str">
        <f>VLOOKUP($A304,Questions!$A$2:$X$333,21,0)&amp;""</f>
        <v>Yes</v>
      </c>
      <c r="H304" s="186"/>
      <c r="I304" s="46" t="str">
        <f>VLOOKUP($A304,Questions!$A$2:$X$333,23,0)&amp;""</f>
        <v>Standard Importance</v>
      </c>
      <c r="J304" s="186"/>
      <c r="K304" s="49" t="b">
        <v>0</v>
      </c>
      <c r="L304" s="1"/>
    </row>
    <row r="305" spans="1:12" s="30" customFormat="1" ht="90" x14ac:dyDescent="0.2">
      <c r="A305" s="19" t="str">
        <f>'Case-Specific'!A81</f>
        <v>OPEM-06</v>
      </c>
      <c r="B305" s="20" t="str">
        <f>VLOOKUP($A305,'Case-Specific'!$A$13:$E$85,2,0)&amp;""</f>
        <v>If you maintain remote access to the system, will you handle data in a FERPA-compliant manner?</v>
      </c>
      <c r="C305" s="46" t="str">
        <f>VLOOKUP($A305,'Case-Specific'!$A$13:$E$85,3,0)&amp;""</f>
        <v/>
      </c>
      <c r="D305" s="35" t="str">
        <f>IF(LEFT(VLOOKUP($A305,'Case-Specific'!$A$13:$E$85,5,0),21)='Auto Responses'!$A$32,'Auto Responses'!$A$33,VLOOKUP($A305,'Case-Specific'!$A$13:$E$85,4,0))&amp;""</f>
        <v>This question does not apply.</v>
      </c>
      <c r="E305" s="331" t="str">
        <f>VLOOKUP($A305,'Case-Specific'!$A$13:$E$85,5,0)&amp;""</f>
        <v>Based on the response to REQU-07 on the "START HERE" tab, this question does not apply to this product or service.</v>
      </c>
      <c r="F305" s="196"/>
      <c r="G305" s="31" t="str">
        <f>VLOOKUP($A305,Questions!$A$2:$X$333,21,0)&amp;""</f>
        <v>Yes</v>
      </c>
      <c r="H305" s="186"/>
      <c r="I305" s="46" t="str">
        <f>VLOOKUP($A305,Questions!$A$2:$X$333,23,0)&amp;""</f>
        <v>Standard Importance</v>
      </c>
      <c r="J305" s="186"/>
      <c r="K305" s="49" t="b">
        <v>0</v>
      </c>
      <c r="L305" s="1"/>
    </row>
    <row r="306" spans="1:12" s="30" customFormat="1" ht="90" x14ac:dyDescent="0.2">
      <c r="A306" s="19" t="str">
        <f>'Case-Specific'!A82</f>
        <v>OPEM-07</v>
      </c>
      <c r="B306" s="20" t="str">
        <f>VLOOKUP($A306,'Case-Specific'!$A$13:$E$85,2,0)&amp;""</f>
        <v>Do you support campus status monitoring through SNMPv3 or other means?</v>
      </c>
      <c r="C306" s="46" t="str">
        <f>VLOOKUP($A306,'Case-Specific'!$A$13:$E$85,3,0)&amp;""</f>
        <v/>
      </c>
      <c r="D306" s="35" t="str">
        <f>IF(LEFT(VLOOKUP($A306,'Case-Specific'!$A$13:$E$85,5,0),21)='Auto Responses'!$A$32,'Auto Responses'!$A$33,VLOOKUP($A306,'Case-Specific'!$A$13:$E$85,4,0))&amp;""</f>
        <v>This question does not apply.</v>
      </c>
      <c r="E306" s="333" t="str">
        <f>VLOOKUP($A306,'Case-Specific'!$A$13:$E$85,5,0)&amp;""</f>
        <v>Based on the response to REQU-07 on the "START HERE" tab, this question does not apply to this product or service.</v>
      </c>
      <c r="F306" s="196"/>
      <c r="G306" s="31" t="str">
        <f>VLOOKUP($A306,Questions!$A$2:$X$333,21,0)&amp;""</f>
        <v>Yes</v>
      </c>
      <c r="H306" s="186"/>
      <c r="I306" s="46" t="str">
        <f>VLOOKUP($A306,Questions!$A$2:$X$333,23,0)&amp;""</f>
        <v>Standard Importance</v>
      </c>
      <c r="J306" s="186"/>
      <c r="K306" s="49" t="b">
        <v>0</v>
      </c>
      <c r="L306" s="1"/>
    </row>
    <row r="307" spans="1:12" s="30" customFormat="1" ht="90" x14ac:dyDescent="0.2">
      <c r="A307" s="19" t="str">
        <f>'Case-Specific'!A83</f>
        <v>OPEM-08</v>
      </c>
      <c r="B307" s="20" t="str">
        <f>VLOOKUP($A307,'Case-Specific'!$A$13:$E$85,2,0)&amp;""</f>
        <v>Describe or provide a reference to any other safeguards used to monitor for malicious activity.</v>
      </c>
      <c r="C307" s="306" t="str">
        <f>VLOOKUP($A307,'Case-Specific'!$A$13:$E$85,3,0)&amp;""</f>
        <v/>
      </c>
      <c r="D307" s="307" t="str">
        <f>IF(LEFT(VLOOKUP($A307,'Case-Specific'!$A$13:$E$85,5,0),21)='Auto Responses'!$A$32,'Auto Responses'!$A$33,VLOOKUP($A307,'Case-Specific'!$A$13:$E$85,4,0))&amp;""</f>
        <v>This question does not apply.</v>
      </c>
      <c r="E307" s="333" t="str">
        <f>VLOOKUP($A307,'Case-Specific'!$A$13:$E$85,5,0)&amp;""</f>
        <v>Based on the response to REQU-07 on the "START HERE" tab, this question does not apply to this product or service.</v>
      </c>
      <c r="F307" s="196"/>
      <c r="G307" s="31" t="str">
        <f>VLOOKUP($A307,Questions!$A$2:$X$333,21,0)&amp;""</f>
        <v>Not scored</v>
      </c>
      <c r="H307" s="186"/>
      <c r="I307" s="46" t="str">
        <f>VLOOKUP($A307,Questions!$A$2:$X$333,23,0)&amp;""</f>
        <v/>
      </c>
      <c r="J307" s="186"/>
      <c r="K307" s="49" t="b">
        <v>0</v>
      </c>
      <c r="L307" s="1"/>
    </row>
    <row r="308" spans="1:12" s="30" customFormat="1" ht="90" x14ac:dyDescent="0.2">
      <c r="A308" s="19" t="str">
        <f>'Case-Specific'!A84</f>
        <v>OPEM-09</v>
      </c>
      <c r="B308" s="20" t="str">
        <f>VLOOKUP($A308,'Case-Specific'!$A$13:$E$85,2,0)&amp;""</f>
        <v>Describe how long your organization has conducted business in this area.</v>
      </c>
      <c r="C308" s="306" t="str">
        <f>VLOOKUP($A308,'Case-Specific'!$A$13:$E$85,3,0)&amp;""</f>
        <v/>
      </c>
      <c r="D308" s="307" t="str">
        <f>IF(LEFT(VLOOKUP($A308,'Case-Specific'!$A$13:$E$85,5,0),21)='Auto Responses'!$A$32,'Auto Responses'!$A$33,VLOOKUP($A308,'Case-Specific'!$A$13:$E$85,4,0))&amp;""</f>
        <v>This question does not apply.</v>
      </c>
      <c r="E308" s="333" t="str">
        <f>VLOOKUP($A308,'Case-Specific'!$A$13:$E$85,5,0)&amp;""</f>
        <v>Based on the response to REQU-07 on the "START HERE" tab, this question does not apply to this product or service.</v>
      </c>
      <c r="F308" s="196"/>
      <c r="G308" s="31" t="str">
        <f>VLOOKUP($A308,Questions!$A$2:$X$333,21,0)&amp;""</f>
        <v>Not scored</v>
      </c>
      <c r="H308" s="186"/>
      <c r="I308" s="46" t="str">
        <f>VLOOKUP($A308,Questions!$A$2:$X$333,23,0)&amp;""</f>
        <v/>
      </c>
      <c r="J308" s="186"/>
      <c r="K308" s="49" t="b">
        <v>0</v>
      </c>
      <c r="L308" s="1"/>
    </row>
    <row r="309" spans="1:12" s="30" customFormat="1" ht="90.75" thickBot="1" x14ac:dyDescent="0.25">
      <c r="A309" s="19" t="str">
        <f>'Case-Specific'!A85</f>
        <v>OPEM-10</v>
      </c>
      <c r="B309" s="20" t="str">
        <f>VLOOKUP($A309,'Case-Specific'!$A$13:$E$85,2,0)&amp;""</f>
        <v>Do you have existing higher education customers?</v>
      </c>
      <c r="C309" s="46" t="str">
        <f>VLOOKUP($A309,'Case-Specific'!$A$13:$E$85,3,0)&amp;""</f>
        <v/>
      </c>
      <c r="D309" s="35" t="str">
        <f>IF(LEFT(VLOOKUP($A309,'Case-Specific'!$A$13:$E$85,5,0),21)='Auto Responses'!$A$32,'Auto Responses'!$A$33,VLOOKUP($A309,'Case-Specific'!$A$13:$E$85,4,0))&amp;""</f>
        <v>This question does not apply.</v>
      </c>
      <c r="E309" s="333" t="str">
        <f>VLOOKUP($A309,'Case-Specific'!$A$13:$E$85,5,0)&amp;""</f>
        <v>Based on the response to REQU-07 on the "START HERE" tab, this question does not apply to this product or service.</v>
      </c>
      <c r="F309" s="196"/>
      <c r="G309" s="31" t="str">
        <f>VLOOKUP($A309,Questions!$A$2:$X$333,21,0)&amp;""</f>
        <v>Yes</v>
      </c>
      <c r="H309" s="186"/>
      <c r="I309" s="46" t="str">
        <f>VLOOKUP($A309,Questions!$A$2:$X$333,23,0)&amp;""</f>
        <v>Minor Importance</v>
      </c>
      <c r="J309" s="186"/>
      <c r="K309" s="50" t="b">
        <v>0</v>
      </c>
      <c r="L309" s="1"/>
    </row>
    <row r="310" spans="1:12" s="1" customFormat="1" ht="18" x14ac:dyDescent="0.2">
      <c r="A310" s="64" t="str">
        <f>VLOOKUP(LEFT($A311,4),'Auto Responses'!$N$4:$O$38,2,0)&amp;""</f>
        <v xml:space="preserve"> AI Qualifying Questions</v>
      </c>
      <c r="B310" s="23"/>
      <c r="C310" s="32"/>
      <c r="D310" s="32"/>
      <c r="E310" s="332"/>
      <c r="F310" s="133" t="s">
        <v>1066</v>
      </c>
      <c r="G310" s="336" t="s">
        <v>904</v>
      </c>
      <c r="H310" s="336" t="s">
        <v>906</v>
      </c>
      <c r="I310" s="336" t="s">
        <v>19</v>
      </c>
      <c r="J310" s="336" t="s">
        <v>891</v>
      </c>
      <c r="K310" s="32"/>
    </row>
    <row r="311" spans="1:12" s="30" customFormat="1" ht="90" x14ac:dyDescent="0.2">
      <c r="A311" s="19" t="str">
        <f>AI!$A$20</f>
        <v>AIQU-01</v>
      </c>
      <c r="B311" s="20" t="str">
        <f>VLOOKUP($A311,AI!$A$13:$E$55,2,0)&amp;""</f>
        <v>Does your solution leverage machine learning (ML) or do you plan to do so in the next 12 months?</v>
      </c>
      <c r="C311" s="46" t="str">
        <f>VLOOKUP($A311,AI!$A$13:$E$55,3,0)&amp;""</f>
        <v/>
      </c>
      <c r="D311" s="35" t="str">
        <f>IF(LEFT(VLOOKUP($A311,AI!$A$13:$E$55,5,0),21)='Auto Responses'!$A$32,'Auto Responses'!$A$33,VLOOKUP($A311,AI!$A$13:$E$55,4,0))&amp;""</f>
        <v>This question does not apply.</v>
      </c>
      <c r="E311" s="331" t="str">
        <f>VLOOKUP($A311,AI!$A$13:$E$55,5,0)&amp;""</f>
        <v>Based on the response to REQU-04 on the "START HERE" tab, this question does not apply to this product or service.</v>
      </c>
      <c r="F311" s="196"/>
      <c r="G311" s="31" t="str">
        <f>VLOOKUP($A311,Questions!$A$2:$X$333,21,0)&amp;""</f>
        <v>Not scored</v>
      </c>
      <c r="H311" s="186"/>
      <c r="I311" s="46" t="str">
        <f>VLOOKUP($A311,Questions!$A$2:$X$333,23,0)&amp;""</f>
        <v/>
      </c>
      <c r="J311" s="186"/>
      <c r="K311" s="49" t="b">
        <v>0</v>
      </c>
      <c r="L311" s="1"/>
    </row>
    <row r="312" spans="1:12" s="30" customFormat="1" ht="90" x14ac:dyDescent="0.2">
      <c r="A312" s="19" t="str">
        <f>AI!$A$21</f>
        <v>AIQU-02</v>
      </c>
      <c r="B312" s="20" t="str">
        <f>VLOOKUP($A312,AI!$A$13:$E$55,2,0)&amp;""</f>
        <v>Does your solution leverage a large language model (LLM) or do you plan to do so in the next 12 months?</v>
      </c>
      <c r="C312" s="46" t="str">
        <f>VLOOKUP($A312,AI!$A$13:$E$55,3,0)&amp;""</f>
        <v/>
      </c>
      <c r="D312" s="35" t="str">
        <f>IF(LEFT(VLOOKUP($A312,AI!$A$13:$E$55,5,0),21)='Auto Responses'!$A$32,'Auto Responses'!$A$33,VLOOKUP($A312,AI!$A$13:$E$55,4,0))&amp;""</f>
        <v>This question does not apply.</v>
      </c>
      <c r="E312" s="331" t="str">
        <f>VLOOKUP($A312,AI!$A$13:$E$55,5,0)&amp;""</f>
        <v>Based on the response to REQU-04 on the "START HERE" tab, this question does not apply to this product or service.</v>
      </c>
      <c r="F312" s="196"/>
      <c r="G312" s="31" t="str">
        <f>VLOOKUP($A312,Questions!$A$2:$X$333,21,0)&amp;""</f>
        <v>Not scored</v>
      </c>
      <c r="H312" s="186"/>
      <c r="I312" s="46" t="str">
        <f>VLOOKUP($A312,Questions!$A$2:$X$333,23,0)&amp;""</f>
        <v/>
      </c>
      <c r="J312" s="186"/>
      <c r="K312" s="49" t="b">
        <v>0</v>
      </c>
      <c r="L312" s="1"/>
    </row>
    <row r="313" spans="1:12" s="1" customFormat="1" ht="18" x14ac:dyDescent="0.2">
      <c r="A313" s="64" t="str">
        <f>VLOOKUP(LEFT($A314,4),'Auto Responses'!$N$4:$O$38,2,0)&amp;""</f>
        <v xml:space="preserve"> General AI Questions</v>
      </c>
      <c r="B313" s="23"/>
      <c r="C313" s="32"/>
      <c r="D313" s="32"/>
      <c r="E313" s="332"/>
      <c r="F313" s="133" t="s">
        <v>1066</v>
      </c>
      <c r="G313" s="336" t="s">
        <v>904</v>
      </c>
      <c r="H313" s="336" t="s">
        <v>906</v>
      </c>
      <c r="I313" s="336" t="s">
        <v>19</v>
      </c>
      <c r="J313" s="336" t="s">
        <v>891</v>
      </c>
      <c r="K313" s="32"/>
    </row>
    <row r="314" spans="1:12" s="30" customFormat="1" ht="90" x14ac:dyDescent="0.2">
      <c r="A314" s="19" t="str">
        <f>AI!$A$23</f>
        <v>AIGN-01</v>
      </c>
      <c r="B314" s="20" t="str">
        <f>VLOOKUP($A314,AI!$A$13:$E$55,2,0)&amp;""</f>
        <v>Does your solution have an AI risk model when developing or implementing your solution's AI model?*</v>
      </c>
      <c r="C314" s="46" t="str">
        <f>VLOOKUP($A314,AI!$A$13:$E$55,3,0)&amp;""</f>
        <v/>
      </c>
      <c r="D314" s="35" t="str">
        <f>IF(LEFT(VLOOKUP($A314,AI!$A$13:$E$55,5,0),21)='Auto Responses'!$A$32,'Auto Responses'!$A$33,VLOOKUP($A314,AI!$A$13:$E$55,4,0))&amp;""</f>
        <v>This question does not apply.</v>
      </c>
      <c r="E314" s="331" t="str">
        <f>VLOOKUP($A314,AI!$A$13:$E$55,5,0)&amp;""</f>
        <v>Based on the response to REQU-04 on the "START HERE" tab, this question does not apply to this product or service.</v>
      </c>
      <c r="F314" s="196"/>
      <c r="G314" s="31" t="str">
        <f>VLOOKUP($A314,Questions!$A$2:$X$333,21,0)&amp;""</f>
        <v>Yes</v>
      </c>
      <c r="H314" s="186"/>
      <c r="I314" s="46" t="str">
        <f>VLOOKUP($A314,Questions!$A$2:$X$333,23,0)&amp;""</f>
        <v>Critical Importance</v>
      </c>
      <c r="J314" s="186"/>
      <c r="K314" s="49" t="b">
        <v>0</v>
      </c>
      <c r="L314" s="1"/>
    </row>
    <row r="315" spans="1:12" s="30" customFormat="1" ht="90" x14ac:dyDescent="0.2">
      <c r="A315" s="19" t="str">
        <f>AI!$A$24</f>
        <v>AIGN-02</v>
      </c>
      <c r="B315" s="20" t="str">
        <f>VLOOKUP($A315,AI!$A$13:$E$55,2,0)&amp;""</f>
        <v>Can your solution's AI features be disabled by tenant and/or user?*</v>
      </c>
      <c r="C315" s="46" t="str">
        <f>VLOOKUP($A315,AI!$A$13:$E$55,3,0)&amp;""</f>
        <v/>
      </c>
      <c r="D315" s="35" t="str">
        <f>IF(LEFT(VLOOKUP($A315,AI!$A$13:$E$55,5,0),21)='Auto Responses'!$A$32,'Auto Responses'!$A$33,VLOOKUP($A315,AI!$A$13:$E$55,4,0))&amp;""</f>
        <v>This question does not apply.</v>
      </c>
      <c r="E315" s="331" t="str">
        <f>VLOOKUP($A315,AI!$A$13:$E$55,5,0)&amp;""</f>
        <v>Based on the response to REQU-04 on the "START HERE" tab, this question does not apply to this product or service.</v>
      </c>
      <c r="F315" s="196"/>
      <c r="G315" s="31" t="str">
        <f>VLOOKUP($A315,Questions!$A$2:$X$333,21,0)&amp;""</f>
        <v>Yes</v>
      </c>
      <c r="H315" s="186"/>
      <c r="I315" s="46" t="str">
        <f>VLOOKUP($A315,Questions!$A$2:$X$333,23,0)&amp;""</f>
        <v>Critical Importance</v>
      </c>
      <c r="J315" s="186"/>
      <c r="K315" s="49" t="b">
        <v>0</v>
      </c>
      <c r="L315" s="1"/>
    </row>
    <row r="316" spans="1:12" s="30" customFormat="1" ht="90" x14ac:dyDescent="0.2">
      <c r="A316" s="19" t="str">
        <f>AI!$A$25</f>
        <v>AIGN-03</v>
      </c>
      <c r="B316" s="20" t="str">
        <f>VLOOKUP($A316,AI!$A$13:$E$55,2,0)&amp;""</f>
        <v>Have your staff completed responsible AI training?*</v>
      </c>
      <c r="C316" s="46" t="str">
        <f>VLOOKUP($A316,AI!$A$13:$E$55,3,0)&amp;""</f>
        <v/>
      </c>
      <c r="D316" s="35" t="str">
        <f>IF(LEFT(VLOOKUP($A316,AI!$A$13:$E$55,5,0),21)='Auto Responses'!$A$32,'Auto Responses'!$A$33,VLOOKUP($A316,AI!$A$13:$E$55,4,0))&amp;""</f>
        <v>This question does not apply.</v>
      </c>
      <c r="E316" s="331" t="str">
        <f>VLOOKUP($A316,AI!$A$13:$E$55,5,0)&amp;""</f>
        <v>Based on the response to REQU-04 on the "START HERE" tab, this question does not apply to this product or service.</v>
      </c>
      <c r="F316" s="196"/>
      <c r="G316" s="31" t="str">
        <f>VLOOKUP($A316,Questions!$A$2:$X$333,21,0)&amp;""</f>
        <v>Yes</v>
      </c>
      <c r="H316" s="186"/>
      <c r="I316" s="46" t="str">
        <f>VLOOKUP($A316,Questions!$A$2:$X$333,23,0)&amp;""</f>
        <v>Critical Importance</v>
      </c>
      <c r="J316" s="186"/>
      <c r="K316" s="49" t="b">
        <v>0</v>
      </c>
      <c r="L316" s="1"/>
    </row>
    <row r="317" spans="1:12" s="30" customFormat="1" ht="90" x14ac:dyDescent="0.2">
      <c r="A317" s="19" t="str">
        <f>AI!$A$26</f>
        <v>AIGN-04</v>
      </c>
      <c r="B317" s="20" t="str">
        <f>VLOOKUP($A317,AI!$A$13:$E$55,2,0)&amp;""</f>
        <v>Please describe the capabilities of your solution's AI features.</v>
      </c>
      <c r="C317" s="306" t="str">
        <f>VLOOKUP($A317,AI!$A$13:$E$55,3,0)&amp;""</f>
        <v/>
      </c>
      <c r="D317" s="307" t="str">
        <f>IF(LEFT(VLOOKUP($A317,AI!$A$13:$E$55,5,0),21)='Auto Responses'!$A$32,'Auto Responses'!$A$33,VLOOKUP($A317,AI!$A$13:$E$55,4,0))&amp;""</f>
        <v>This question does not apply.</v>
      </c>
      <c r="E317" s="331" t="str">
        <f>VLOOKUP($A317,AI!$A$13:$E$55,5,0)&amp;""</f>
        <v>Based on the response to REQU-04 on the "START HERE" tab, this question does not apply to this product or service.</v>
      </c>
      <c r="F317" s="196"/>
      <c r="G317" s="31" t="str">
        <f>VLOOKUP($A317,Questions!$A$2:$X$333,21,0)&amp;""</f>
        <v>Not scored</v>
      </c>
      <c r="H317" s="186"/>
      <c r="I317" s="46" t="str">
        <f>VLOOKUP($A317,Questions!$A$2:$X$333,23,0)&amp;""</f>
        <v/>
      </c>
      <c r="J317" s="186"/>
      <c r="K317" s="49" t="b">
        <v>0</v>
      </c>
      <c r="L317" s="1"/>
    </row>
    <row r="318" spans="1:12" s="30" customFormat="1" ht="90" x14ac:dyDescent="0.2">
      <c r="A318" s="19" t="str">
        <f>AI!$A$27</f>
        <v>AIGN-05</v>
      </c>
      <c r="B318" s="20" t="str">
        <f>VLOOKUP($A318,AI!$A$13:$E$55,2,0)&amp;""</f>
        <v>Does your solution support business rules to protect sensitive data from being ingested by the AI model?</v>
      </c>
      <c r="C318" s="46" t="str">
        <f>VLOOKUP($A318,AI!$A$13:$E$55,3,0)&amp;""</f>
        <v/>
      </c>
      <c r="D318" s="35" t="str">
        <f>IF(LEFT(VLOOKUP($A318,AI!$A$13:$E$55,5,0),21)='Auto Responses'!$A$32,'Auto Responses'!$A$33,VLOOKUP($A318,AI!$A$13:$E$55,4,0))&amp;""</f>
        <v>This question does not apply.</v>
      </c>
      <c r="E318" s="331" t="str">
        <f>VLOOKUP($A318,AI!$A$13:$E$55,5,0)&amp;""</f>
        <v>Based on the response to REQU-04 on the "START HERE" tab, this question does not apply to this product or service.</v>
      </c>
      <c r="F318" s="196"/>
      <c r="G318" s="31" t="str">
        <f>VLOOKUP($A318,Questions!$A$2:$X$333,21,0)&amp;""</f>
        <v>Yes</v>
      </c>
      <c r="H318" s="186"/>
      <c r="I318" s="46" t="str">
        <f>VLOOKUP($A318,Questions!$A$2:$X$333,23,0)&amp;""</f>
        <v>Standard Importance</v>
      </c>
      <c r="J318" s="186"/>
      <c r="K318" s="49" t="b">
        <v>0</v>
      </c>
      <c r="L318" s="1"/>
    </row>
    <row r="319" spans="1:12" s="1" customFormat="1" ht="18" x14ac:dyDescent="0.2">
      <c r="A319" s="64" t="str">
        <f>VLOOKUP(LEFT($A320,4),'Auto Responses'!$N$4:$O$38,2,0)&amp;""</f>
        <v xml:space="preserve"> AI Policy</v>
      </c>
      <c r="B319" s="23"/>
      <c r="C319" s="32"/>
      <c r="D319" s="32"/>
      <c r="E319" s="332"/>
      <c r="F319" s="133" t="s">
        <v>1066</v>
      </c>
      <c r="G319" s="336" t="s">
        <v>904</v>
      </c>
      <c r="H319" s="336" t="s">
        <v>906</v>
      </c>
      <c r="I319" s="336" t="s">
        <v>19</v>
      </c>
      <c r="J319" s="336" t="s">
        <v>891</v>
      </c>
      <c r="K319" s="32"/>
    </row>
    <row r="320" spans="1:12" s="30" customFormat="1" ht="90" x14ac:dyDescent="0.2">
      <c r="A320" s="19" t="str">
        <f>AI!$A$29</f>
        <v>AIPL-01</v>
      </c>
      <c r="B320" s="20" t="str">
        <f>VLOOKUP($A320,AI!$A$13:$E$55,2,0)&amp;""</f>
        <v>Are your AI developer's policies, processes, procedures, and practices across the organization related to the mapping, measuring, and managing of AI risks conspicuously posted, unambiguous, and implemented effectively?*</v>
      </c>
      <c r="C320" s="46" t="str">
        <f>VLOOKUP($A320,AI!$A$13:$E$55,3,0)&amp;""</f>
        <v/>
      </c>
      <c r="D320" s="35" t="str">
        <f>IF(LEFT(VLOOKUP($A320,AI!$A$13:$E$55,5,0),21)='Auto Responses'!$A$32,'Auto Responses'!$A$33,VLOOKUP($A320,AI!$A$13:$E$55,4,0))&amp;""</f>
        <v>This question does not apply.</v>
      </c>
      <c r="E320" s="331" t="str">
        <f>VLOOKUP($A320,AI!$A$13:$E$55,5,0)&amp;""</f>
        <v>Based on the response to REQU-04 on the "START HERE" tab, this question does not apply to this product or service.</v>
      </c>
      <c r="F320" s="196"/>
      <c r="G320" s="31" t="str">
        <f>VLOOKUP($A320,Questions!$A$2:$X$333,21,0)&amp;""</f>
        <v>Yes</v>
      </c>
      <c r="H320" s="186"/>
      <c r="I320" s="46" t="str">
        <f>VLOOKUP($A320,Questions!$A$2:$X$333,23,0)&amp;""</f>
        <v>Critical Importance</v>
      </c>
      <c r="J320" s="186"/>
      <c r="K320" s="49" t="b">
        <v>0</v>
      </c>
      <c r="L320" s="1"/>
    </row>
    <row r="321" spans="1:12" s="30" customFormat="1" ht="90" x14ac:dyDescent="0.2">
      <c r="A321" s="19" t="str">
        <f>AI!$A$30</f>
        <v>AIPL-02</v>
      </c>
      <c r="B321" s="20" t="str">
        <f>VLOOKUP($A321,AI!$A$13:$E$55,2,0)&amp;""</f>
        <v>Have you identified and measured AI risks?*</v>
      </c>
      <c r="C321" s="46" t="str">
        <f>VLOOKUP($A321,AI!$A$13:$E$55,3,0)&amp;""</f>
        <v/>
      </c>
      <c r="D321" s="35" t="str">
        <f>IF(LEFT(VLOOKUP($A321,AI!$A$13:$E$55,5,0),21)='Auto Responses'!$A$32,'Auto Responses'!$A$33,VLOOKUP($A321,AI!$A$13:$E$55,4,0))&amp;""</f>
        <v>This question does not apply.</v>
      </c>
      <c r="E321" s="331" t="str">
        <f>VLOOKUP($A321,AI!$A$13:$E$55,5,0)&amp;""</f>
        <v>Based on the response to REQU-04 on the "START HERE" tab, this question does not apply to this product or service.</v>
      </c>
      <c r="F321" s="196"/>
      <c r="G321" s="31" t="str">
        <f>VLOOKUP($A321,Questions!$A$2:$X$333,21,0)&amp;""</f>
        <v>Yes</v>
      </c>
      <c r="H321" s="186"/>
      <c r="I321" s="46" t="str">
        <f>VLOOKUP($A321,Questions!$A$2:$X$333,23,0)&amp;""</f>
        <v>Critical Importance</v>
      </c>
      <c r="J321" s="186"/>
      <c r="K321" s="49" t="b">
        <v>0</v>
      </c>
      <c r="L321" s="1"/>
    </row>
    <row r="322" spans="1:12" s="30" customFormat="1" ht="90" x14ac:dyDescent="0.2">
      <c r="A322" s="19" t="str">
        <f>AI!$A$31</f>
        <v>AIPL-03</v>
      </c>
      <c r="B322" s="20" t="str">
        <f>VLOOKUP($A322,AI!$A$13:$E$55,2,0)&amp;""</f>
        <v>In the event of an incident, can your solution's AI features be disabled in a timely manner?*</v>
      </c>
      <c r="C322" s="46" t="str">
        <f>VLOOKUP($A322,AI!$A$13:$E$55,3,0)&amp;""</f>
        <v/>
      </c>
      <c r="D322" s="35" t="str">
        <f>IF(LEFT(VLOOKUP($A322,AI!$A$13:$E$55,5,0),21)='Auto Responses'!$A$32,'Auto Responses'!$A$33,VLOOKUP($A322,AI!$A$13:$E$55,4,0))&amp;""</f>
        <v>This question does not apply.</v>
      </c>
      <c r="E322" s="331" t="str">
        <f>VLOOKUP($A322,AI!$A$13:$E$55,5,0)&amp;""</f>
        <v>Based on the response to REQU-04 on the "START HERE" tab, this question does not apply to this product or service.</v>
      </c>
      <c r="F322" s="196"/>
      <c r="G322" s="31" t="str">
        <f>VLOOKUP($A322,Questions!$A$2:$X$333,21,0)&amp;""</f>
        <v>Yes</v>
      </c>
      <c r="H322" s="186"/>
      <c r="I322" s="46" t="str">
        <f>VLOOKUP($A322,Questions!$A$2:$X$333,23,0)&amp;""</f>
        <v>Critical Importance</v>
      </c>
      <c r="J322" s="186"/>
      <c r="K322" s="49" t="b">
        <v>0</v>
      </c>
      <c r="L322" s="1"/>
    </row>
    <row r="323" spans="1:12" s="30" customFormat="1" ht="90" x14ac:dyDescent="0.2">
      <c r="A323" s="19" t="str">
        <f>AI!$A$32</f>
        <v>AIPL-04</v>
      </c>
      <c r="B323" s="20" t="str">
        <f>VLOOKUP($A323,AI!$A$13:$E$55,2,0)&amp;""</f>
        <v>If disabled because of an incident, can your solution's AI features be re-enabled in a timely manner?*</v>
      </c>
      <c r="C323" s="46" t="str">
        <f>VLOOKUP($A323,AI!$A$13:$E$55,3,0)&amp;""</f>
        <v/>
      </c>
      <c r="D323" s="35" t="str">
        <f>IF(LEFT(VLOOKUP($A323,AI!$A$13:$E$55,5,0),21)='Auto Responses'!$A$32,'Auto Responses'!$A$33,VLOOKUP($A323,AI!$A$13:$E$55,4,0))&amp;""</f>
        <v>This question does not apply.</v>
      </c>
      <c r="E323" s="331" t="str">
        <f>VLOOKUP($A323,AI!$A$13:$E$55,5,0)&amp;""</f>
        <v>Based on the response to REQU-04 on the "START HERE" tab, this question does not apply to this product or service.</v>
      </c>
      <c r="F323" s="196"/>
      <c r="G323" s="31" t="str">
        <f>VLOOKUP($A323,Questions!$A$2:$X$333,21,0)&amp;""</f>
        <v>Yes</v>
      </c>
      <c r="H323" s="186"/>
      <c r="I323" s="46" t="str">
        <f>VLOOKUP($A323,Questions!$A$2:$X$333,23,0)&amp;""</f>
        <v>Critical Importance</v>
      </c>
      <c r="J323" s="186"/>
      <c r="K323" s="49" t="b">
        <v>0</v>
      </c>
      <c r="L323" s="1"/>
    </row>
    <row r="324" spans="1:12" s="30" customFormat="1" ht="90" x14ac:dyDescent="0.2">
      <c r="A324" s="19" t="str">
        <f>AI!$A$33</f>
        <v>AIPL-05</v>
      </c>
      <c r="B324" s="20" t="str">
        <f>VLOOKUP($A324,AI!$A$13:$E$55,2,0)&amp;""</f>
        <v>Do you have documented technical and procedural processes to address potential negative impacts of AI as described by the AI Risk Management Framework (RMF)?</v>
      </c>
      <c r="C324" s="46" t="str">
        <f>VLOOKUP($A324,AI!$A$13:$E$55,3,0)&amp;""</f>
        <v/>
      </c>
      <c r="D324" s="35" t="str">
        <f>IF(LEFT(VLOOKUP($A324,AI!$A$13:$E$55,5,0),21)='Auto Responses'!$A$32,'Auto Responses'!$A$33,VLOOKUP($A324,AI!$A$13:$E$55,4,0))&amp;""</f>
        <v>This question does not apply.</v>
      </c>
      <c r="E324" s="331" t="str">
        <f>VLOOKUP($A324,AI!$A$13:$E$55,5,0)&amp;""</f>
        <v>Based on the response to REQU-04 on the "START HERE" tab, this question does not apply to this product or service.</v>
      </c>
      <c r="F324" s="196"/>
      <c r="G324" s="31" t="str">
        <f>VLOOKUP($A324,Questions!$A$2:$X$333,21,0)&amp;""</f>
        <v>Yes</v>
      </c>
      <c r="H324" s="186"/>
      <c r="I324" s="46" t="str">
        <f>VLOOKUP($A324,Questions!$A$2:$X$333,23,0)&amp;""</f>
        <v>Minor Importance</v>
      </c>
      <c r="J324" s="186"/>
      <c r="K324" s="49" t="b">
        <v>0</v>
      </c>
      <c r="L324" s="1"/>
    </row>
    <row r="325" spans="1:12" s="1" customFormat="1" ht="18" x14ac:dyDescent="0.2">
      <c r="A325" s="64" t="str">
        <f>VLOOKUP(LEFT($A326,4),'Auto Responses'!$N$4:$O$38,2,0)&amp;""</f>
        <v xml:space="preserve"> AI Data Security</v>
      </c>
      <c r="B325" s="23"/>
      <c r="C325" s="32"/>
      <c r="D325" s="32"/>
      <c r="E325" s="332"/>
      <c r="F325" s="133" t="s">
        <v>1066</v>
      </c>
      <c r="G325" s="336" t="s">
        <v>904</v>
      </c>
      <c r="H325" s="336" t="s">
        <v>906</v>
      </c>
      <c r="I325" s="336" t="s">
        <v>19</v>
      </c>
      <c r="J325" s="336" t="s">
        <v>891</v>
      </c>
      <c r="K325" s="32"/>
    </row>
    <row r="326" spans="1:12" s="30" customFormat="1" ht="90" x14ac:dyDescent="0.2">
      <c r="A326" s="19" t="str">
        <f>AI!$A$35</f>
        <v>AISC-01</v>
      </c>
      <c r="B326" s="20" t="str">
        <f>VLOOKUP($A326,AI!$A$13:$E$55,2,0)&amp;""</f>
        <v>If sensitive data is introduced to your solution's AI model, can the data be removed from the AI model by request?*</v>
      </c>
      <c r="C326" s="46" t="str">
        <f>VLOOKUP($A326,AI!$A$13:$E$55,3,0)&amp;""</f>
        <v/>
      </c>
      <c r="D326" s="35" t="str">
        <f>IF(LEFT(VLOOKUP($A326,AI!$A$13:$E$55,5,0),21)='Auto Responses'!$A$32,'Auto Responses'!$A$33,VLOOKUP($A326,AI!$A$13:$E$55,4,0))&amp;""</f>
        <v>This question does not apply.</v>
      </c>
      <c r="E326" s="331" t="str">
        <f>VLOOKUP($A326,AI!$A$13:$E$55,5,0)&amp;""</f>
        <v>Based on the response to REQU-04 on the "START HERE" tab, this question does not apply to this product or service.</v>
      </c>
      <c r="F326" s="196"/>
      <c r="G326" s="31" t="str">
        <f>VLOOKUP($A326,Questions!$A$2:$X$333,21,0)&amp;""</f>
        <v>Yes</v>
      </c>
      <c r="H326" s="186"/>
      <c r="I326" s="46" t="str">
        <f>VLOOKUP($A326,Questions!$A$2:$X$333,23,0)&amp;""</f>
        <v>Critical Importance</v>
      </c>
      <c r="J326" s="186"/>
      <c r="K326" s="49" t="b">
        <v>0</v>
      </c>
      <c r="L326" s="1"/>
    </row>
    <row r="327" spans="1:12" s="30" customFormat="1" ht="90" x14ac:dyDescent="0.2">
      <c r="A327" s="19" t="str">
        <f>AI!$A$36</f>
        <v>AISC-02</v>
      </c>
      <c r="B327" s="20" t="str">
        <f>VLOOKUP($A327,AI!$A$13:$E$55,2,0)&amp;""</f>
        <v>Is user input data used to influence your solution's AI model?*</v>
      </c>
      <c r="C327" s="46" t="str">
        <f>VLOOKUP($A327,AI!$A$13:$E$55,3,0)&amp;""</f>
        <v/>
      </c>
      <c r="D327" s="35" t="str">
        <f>IF(LEFT(VLOOKUP($A327,AI!$A$13:$E$55,5,0),21)='Auto Responses'!$A$32,'Auto Responses'!$A$33,VLOOKUP($A327,AI!$A$13:$E$55,4,0))&amp;""</f>
        <v>This question does not apply.</v>
      </c>
      <c r="E327" s="331" t="str">
        <f>VLOOKUP($A327,AI!$A$13:$E$55,5,0)&amp;""</f>
        <v>Based on the response to REQU-04 on the "START HERE" tab, this question does not apply to this product or service.</v>
      </c>
      <c r="F327" s="196"/>
      <c r="G327" s="31" t="str">
        <f>VLOOKUP($A327,Questions!$A$2:$X$333,21,0)&amp;""</f>
        <v>No</v>
      </c>
      <c r="H327" s="186"/>
      <c r="I327" s="46" t="str">
        <f>VLOOKUP($A327,Questions!$A$2:$X$333,23,0)&amp;""</f>
        <v>Critical Importance</v>
      </c>
      <c r="J327" s="186"/>
      <c r="K327" s="49" t="b">
        <v>0</v>
      </c>
      <c r="L327" s="1"/>
    </row>
    <row r="328" spans="1:12" s="30" customFormat="1" ht="90" x14ac:dyDescent="0.2">
      <c r="A328" s="19" t="str">
        <f>AI!$A$37</f>
        <v>AISC-03</v>
      </c>
      <c r="B328" s="20" t="str">
        <f>VLOOKUP($A328,AI!$A$13:$E$55,2,0)&amp;""</f>
        <v>Do you provide logging for your solution's AI feature(s) that includes user, date, and action taken?*</v>
      </c>
      <c r="C328" s="46" t="str">
        <f>VLOOKUP($A328,AI!$A$13:$E$55,3,0)&amp;""</f>
        <v/>
      </c>
      <c r="D328" s="35" t="str">
        <f>IF(LEFT(VLOOKUP($A328,AI!$A$13:$E$55,5,0),21)='Auto Responses'!$A$32,'Auto Responses'!$A$33,VLOOKUP($A328,AI!$A$13:$E$55,4,0))&amp;""</f>
        <v>This question does not apply.</v>
      </c>
      <c r="E328" s="331" t="str">
        <f>VLOOKUP($A328,AI!$A$13:$E$55,5,0)&amp;""</f>
        <v>Based on the response to REQU-04 on the "START HERE" tab, this question does not apply to this product or service.</v>
      </c>
      <c r="F328" s="196"/>
      <c r="G328" s="31" t="str">
        <f>VLOOKUP($A328,Questions!$A$2:$X$333,21,0)&amp;""</f>
        <v>Yes</v>
      </c>
      <c r="H328" s="186"/>
      <c r="I328" s="46" t="str">
        <f>VLOOKUP($A328,Questions!$A$2:$X$333,23,0)&amp;""</f>
        <v>Critical Importance</v>
      </c>
      <c r="J328" s="186"/>
      <c r="K328" s="49" t="b">
        <v>0</v>
      </c>
      <c r="L328" s="1"/>
    </row>
    <row r="329" spans="1:12" s="30" customFormat="1" ht="90" x14ac:dyDescent="0.2">
      <c r="A329" s="19" t="str">
        <f>AI!$A$38</f>
        <v>AISC-04</v>
      </c>
      <c r="B329" s="20" t="str">
        <f>VLOOKUP($A329,AI!$A$13:$E$55,2,0)&amp;""</f>
        <v>Please describe how you validate user inputs.</v>
      </c>
      <c r="C329" s="306" t="str">
        <f>VLOOKUP($A329,AI!$A$13:$E$55,3,0)&amp;""</f>
        <v/>
      </c>
      <c r="D329" s="305" t="str">
        <f>IF(LEFT(VLOOKUP($A329,AI!$A$13:$E$55,5,0),21)='Auto Responses'!$A$32,'Auto Responses'!$A$33,VLOOKUP($A329,AI!$A$13:$E$55,4,0))&amp;""</f>
        <v>This question does not apply.</v>
      </c>
      <c r="E329" s="331" t="str">
        <f>VLOOKUP($A329,AI!$A$13:$E$55,5,0)&amp;""</f>
        <v>Based on the response to REQU-04 on the "START HERE" tab, this question does not apply to this product or service.</v>
      </c>
      <c r="F329" s="196"/>
      <c r="G329" s="31" t="str">
        <f>VLOOKUP($A329,Questions!$A$2:$X$333,21,0)&amp;""</f>
        <v>Not scored</v>
      </c>
      <c r="H329" s="186"/>
      <c r="I329" s="46" t="str">
        <f>VLOOKUP($A329,Questions!$A$2:$X$333,23,0)&amp;""</f>
        <v/>
      </c>
      <c r="J329" s="186"/>
      <c r="K329" s="49" t="b">
        <v>0</v>
      </c>
      <c r="L329" s="1"/>
    </row>
    <row r="330" spans="1:12" s="30" customFormat="1" ht="90" x14ac:dyDescent="0.2">
      <c r="A330" s="19" t="str">
        <f>AI!$A$39</f>
        <v>AISC-05</v>
      </c>
      <c r="B330" s="20" t="str">
        <f>VLOOKUP($A330,AI!$A$13:$E$55,2,0)&amp;""</f>
        <v>Do you plan for and mitigate supply-chain risk related to your AI features?</v>
      </c>
      <c r="C330" s="46" t="str">
        <f>VLOOKUP($A330,AI!$A$13:$E$55,3,0)&amp;""</f>
        <v/>
      </c>
      <c r="D330" s="35" t="str">
        <f>IF(LEFT(VLOOKUP($A330,AI!$A$13:$E$55,5,0),21)='Auto Responses'!$A$32,'Auto Responses'!$A$33,VLOOKUP($A330,AI!$A$13:$E$55,4,0))&amp;""</f>
        <v>This question does not apply.</v>
      </c>
      <c r="E330" s="331" t="str">
        <f>VLOOKUP($A330,AI!$A$13:$E$55,5,0)&amp;""</f>
        <v>Based on the response to REQU-04 on the "START HERE" tab, this question does not apply to this product or service.</v>
      </c>
      <c r="F330" s="196"/>
      <c r="G330" s="31" t="str">
        <f>VLOOKUP($A330,Questions!$A$2:$X$333,21,0)&amp;""</f>
        <v>Yes</v>
      </c>
      <c r="H330" s="186"/>
      <c r="I330" s="46" t="str">
        <f>VLOOKUP($A330,Questions!$A$2:$X$333,23,0)&amp;""</f>
        <v>Standard Importance</v>
      </c>
      <c r="J330" s="186"/>
      <c r="K330" s="49" t="b">
        <v>0</v>
      </c>
      <c r="L330" s="1"/>
    </row>
    <row r="331" spans="1:12" s="1" customFormat="1" ht="18" x14ac:dyDescent="0.2">
      <c r="A331" s="64" t="str">
        <f>VLOOKUP(LEFT($A332,4),'Auto Responses'!$N$4:$O$38,2,0)&amp;""</f>
        <v xml:space="preserve"> AI Machine Learning</v>
      </c>
      <c r="B331" s="23"/>
      <c r="C331" s="32"/>
      <c r="D331" s="32"/>
      <c r="E331" s="332"/>
      <c r="F331" s="133" t="s">
        <v>1066</v>
      </c>
      <c r="G331" s="336" t="s">
        <v>904</v>
      </c>
      <c r="H331" s="336" t="s">
        <v>906</v>
      </c>
      <c r="I331" s="336" t="s">
        <v>19</v>
      </c>
      <c r="J331" s="336" t="s">
        <v>891</v>
      </c>
      <c r="K331" s="32"/>
    </row>
    <row r="332" spans="1:12" s="30" customFormat="1" ht="90" x14ac:dyDescent="0.2">
      <c r="A332" s="19" t="str">
        <f>AI!$A$41</f>
        <v>AIML-01</v>
      </c>
      <c r="B332" s="20" t="str">
        <f>VLOOKUP($A332,AI!$A$13:$E$55,2,0)&amp;""</f>
        <v>Do you separate ML training data from your ML solution data?*</v>
      </c>
      <c r="C332" s="46" t="str">
        <f>VLOOKUP($A332,AI!$A$13:$E$55,3,0)&amp;""</f>
        <v/>
      </c>
      <c r="D332" s="35" t="str">
        <f>IF(LEFT(VLOOKUP($A332,AI!$A$13:$E$55,5,0),21)='Auto Responses'!$A$32,'Auto Responses'!$A$33,VLOOKUP($A332,AI!$A$13:$E$55,4,0))&amp;""</f>
        <v>This question does not apply.</v>
      </c>
      <c r="E332" s="331" t="str">
        <f>VLOOKUP($A332,AI!$A$13:$E$55,5,0)&amp;""</f>
        <v>Based on the response to REQU-04 on the "START HERE" tab, this question does not apply to this product or service.</v>
      </c>
      <c r="F332" s="196"/>
      <c r="G332" s="31" t="str">
        <f>VLOOKUP($A332,Questions!$A$2:$X$333,21,0)&amp;""</f>
        <v>Yes</v>
      </c>
      <c r="H332" s="186"/>
      <c r="I332" s="46" t="str">
        <f>VLOOKUP($A332,Questions!$A$2:$X$333,23,0)&amp;""</f>
        <v>Critical Importance</v>
      </c>
      <c r="J332" s="186"/>
      <c r="K332" s="49" t="b">
        <v>0</v>
      </c>
      <c r="L332" s="1"/>
    </row>
    <row r="333" spans="1:12" s="30" customFormat="1" ht="90" x14ac:dyDescent="0.2">
      <c r="A333" s="19" t="str">
        <f>AI!$A$42</f>
        <v>AIML-02</v>
      </c>
      <c r="B333" s="20" t="str">
        <f>VLOOKUP($A333,AI!$A$13:$E$55,2,0)&amp;""</f>
        <v>Do you authenticate and verify your ML model's feedback?*</v>
      </c>
      <c r="C333" s="46" t="str">
        <f>VLOOKUP($A333,AI!$A$13:$E$55,3,0)&amp;""</f>
        <v/>
      </c>
      <c r="D333" s="35" t="str">
        <f>IF(LEFT(VLOOKUP($A333,AI!$A$13:$E$55,5,0),21)='Auto Responses'!$A$32,'Auto Responses'!$A$33,VLOOKUP($A333,AI!$A$13:$E$55,4,0))&amp;""</f>
        <v>This question does not apply.</v>
      </c>
      <c r="E333" s="331" t="str">
        <f>VLOOKUP($A333,AI!$A$13:$E$55,5,0)&amp;""</f>
        <v>Based on the response to REQU-04 on the "START HERE" tab, this question does not apply to this product or service.</v>
      </c>
      <c r="F333" s="196"/>
      <c r="G333" s="31" t="str">
        <f>VLOOKUP($A333,Questions!$A$2:$X$333,21,0)&amp;""</f>
        <v>Yes</v>
      </c>
      <c r="H333" s="186"/>
      <c r="I333" s="46" t="str">
        <f>VLOOKUP($A333,Questions!$A$2:$X$333,23,0)&amp;""</f>
        <v>Critical Importance</v>
      </c>
      <c r="J333" s="186"/>
      <c r="K333" s="49" t="b">
        <v>0</v>
      </c>
      <c r="L333" s="1"/>
    </row>
    <row r="334" spans="1:12" s="30" customFormat="1" ht="90" x14ac:dyDescent="0.2">
      <c r="A334" s="19" t="str">
        <f>AI!$A$43</f>
        <v>AIML-03</v>
      </c>
      <c r="B334" s="20" t="str">
        <f>VLOOKUP($A334,AI!$A$13:$E$55,2,0)&amp;""</f>
        <v>Is your ML training data vetted, validated, and verified before training the solution's AI model?</v>
      </c>
      <c r="C334" s="46" t="str">
        <f>VLOOKUP($A334,AI!$A$13:$E$55,3,0)&amp;""</f>
        <v/>
      </c>
      <c r="D334" s="35" t="str">
        <f>IF(LEFT(VLOOKUP($A334,AI!$A$13:$E$55,5,0),21)='Auto Responses'!$A$32,'Auto Responses'!$A$33,VLOOKUP($A334,AI!$A$13:$E$55,4,0))&amp;""</f>
        <v>This question does not apply.</v>
      </c>
      <c r="E334" s="331" t="str">
        <f>VLOOKUP($A334,AI!$A$13:$E$55,5,0)&amp;""</f>
        <v>Based on the response to REQU-04 on the "START HERE" tab, this question does not apply to this product or service.</v>
      </c>
      <c r="F334" s="196"/>
      <c r="G334" s="31" t="str">
        <f>VLOOKUP($A334,Questions!$A$2:$X$333,21,0)&amp;""</f>
        <v>Yes</v>
      </c>
      <c r="H334" s="186"/>
      <c r="I334" s="46" t="str">
        <f>VLOOKUP($A334,Questions!$A$2:$X$333,23,0)&amp;""</f>
        <v>Standard Importance</v>
      </c>
      <c r="J334" s="186"/>
      <c r="K334" s="49" t="b">
        <v>0</v>
      </c>
      <c r="L334" s="1"/>
    </row>
    <row r="335" spans="1:12" s="30" customFormat="1" ht="90" x14ac:dyDescent="0.2">
      <c r="A335" s="19" t="str">
        <f>AI!$A$44</f>
        <v>AIML-04</v>
      </c>
      <c r="B335" s="20" t="str">
        <f>VLOOKUP($A335,AI!$A$13:$E$55,2,0)&amp;""</f>
        <v>Is your ML training data monitored and audited?</v>
      </c>
      <c r="C335" s="46" t="str">
        <f>VLOOKUP($A335,AI!$A$13:$E$55,3,0)&amp;""</f>
        <v/>
      </c>
      <c r="D335" s="35" t="str">
        <f>IF(LEFT(VLOOKUP($A335,AI!$A$13:$E$55,5,0),21)='Auto Responses'!$A$32,'Auto Responses'!$A$33,VLOOKUP($A335,AI!$A$13:$E$55,4,0))&amp;""</f>
        <v>This question does not apply.</v>
      </c>
      <c r="E335" s="331" t="str">
        <f>VLOOKUP($A335,AI!$A$13:$E$55,5,0)&amp;""</f>
        <v>Based on the response to REQU-04 on the "START HERE" tab, this question does not apply to this product or service.</v>
      </c>
      <c r="F335" s="196"/>
      <c r="G335" s="31" t="str">
        <f>VLOOKUP($A335,Questions!$A$2:$X$333,21,0)&amp;""</f>
        <v>Yes</v>
      </c>
      <c r="H335" s="186"/>
      <c r="I335" s="46" t="str">
        <f>VLOOKUP($A335,Questions!$A$2:$X$333,23,0)&amp;""</f>
        <v>Standard Importance</v>
      </c>
      <c r="J335" s="186"/>
      <c r="K335" s="49" t="b">
        <v>0</v>
      </c>
      <c r="L335" s="1"/>
    </row>
    <row r="336" spans="1:12" s="30" customFormat="1" ht="90" x14ac:dyDescent="0.2">
      <c r="A336" s="19" t="str">
        <f>AI!$A$45</f>
        <v>AIML-05</v>
      </c>
      <c r="B336" s="20" t="str">
        <f>VLOOKUP($A336,AI!$A$13:$E$55,2,0)&amp;""</f>
        <v>Have you limited access to your ML training data to only staff with an explicit business need?</v>
      </c>
      <c r="C336" s="46" t="str">
        <f>VLOOKUP($A336,AI!$A$13:$E$55,3,0)&amp;""</f>
        <v/>
      </c>
      <c r="D336" s="35" t="str">
        <f>IF(LEFT(VLOOKUP($A336,AI!$A$13:$E$55,5,0),21)='Auto Responses'!$A$32,'Auto Responses'!$A$33,VLOOKUP($A336,AI!$A$13:$E$55,4,0))&amp;""</f>
        <v>This question does not apply.</v>
      </c>
      <c r="E336" s="331" t="str">
        <f>VLOOKUP($A336,AI!$A$13:$E$55,5,0)&amp;""</f>
        <v>Based on the response to REQU-04 on the "START HERE" tab, this question does not apply to this product or service.</v>
      </c>
      <c r="F336" s="196"/>
      <c r="G336" s="31" t="str">
        <f>VLOOKUP($A336,Questions!$A$2:$X$333,21,0)&amp;""</f>
        <v>Yes</v>
      </c>
      <c r="H336" s="186"/>
      <c r="I336" s="46" t="str">
        <f>VLOOKUP($A336,Questions!$A$2:$X$333,23,0)&amp;""</f>
        <v>Minor Importance</v>
      </c>
      <c r="J336" s="186"/>
      <c r="K336" s="49" t="b">
        <v>0</v>
      </c>
      <c r="L336" s="1"/>
    </row>
    <row r="337" spans="1:14" s="30" customFormat="1" ht="90" x14ac:dyDescent="0.2">
      <c r="A337" s="19" t="str">
        <f>AI!$A$46</f>
        <v>AIML-06</v>
      </c>
      <c r="B337" s="20" t="str">
        <f>VLOOKUP($A337,AI!$A$13:$E$55,2,0)&amp;""</f>
        <v>Have you implemented adversarial training or other model defense mechanisms to protect your ML-related features?</v>
      </c>
      <c r="C337" s="46" t="str">
        <f>VLOOKUP($A337,AI!$A$13:$E$55,3,0)&amp;""</f>
        <v/>
      </c>
      <c r="D337" s="35" t="str">
        <f>IF(LEFT(VLOOKUP($A337,AI!$A$13:$E$55,5,0),21)='Auto Responses'!$A$32,'Auto Responses'!$A$33,VLOOKUP($A337,AI!$A$13:$E$55,4,0))&amp;""</f>
        <v>This question does not apply.</v>
      </c>
      <c r="E337" s="331" t="str">
        <f>VLOOKUP($A337,AI!$A$13:$E$55,5,0)&amp;""</f>
        <v>Based on the response to REQU-04 on the "START HERE" tab, this question does not apply to this product or service.</v>
      </c>
      <c r="F337" s="196"/>
      <c r="G337" s="31" t="str">
        <f>VLOOKUP($A337,Questions!$A$2:$X$333,21,0)&amp;""</f>
        <v>Yes</v>
      </c>
      <c r="H337" s="186"/>
      <c r="I337" s="46" t="str">
        <f>VLOOKUP($A337,Questions!$A$2:$X$333,23,0)&amp;""</f>
        <v>Minor Importance</v>
      </c>
      <c r="J337" s="186"/>
      <c r="K337" s="49" t="b">
        <v>0</v>
      </c>
      <c r="L337" s="1"/>
    </row>
    <row r="338" spans="1:14" s="30" customFormat="1" ht="90" x14ac:dyDescent="0.2">
      <c r="A338" s="19" t="str">
        <f>AI!$A$47</f>
        <v>AIML-07</v>
      </c>
      <c r="B338" s="20" t="str">
        <f>VLOOKUP($A338,AI!$A$13:$E$55,2,0)&amp;""</f>
        <v>Do you make your ML model transparent through documentation and log inputs and outputs?</v>
      </c>
      <c r="C338" s="46" t="str">
        <f>VLOOKUP($A338,AI!$A$13:$E$55,3,0)&amp;""</f>
        <v/>
      </c>
      <c r="D338" s="35" t="str">
        <f>IF(LEFT(VLOOKUP($A338,AI!$A$13:$E$55,5,0),21)='Auto Responses'!$A$32,'Auto Responses'!$A$33,VLOOKUP($A338,AI!$A$13:$E$55,4,0))&amp;""</f>
        <v>This question does not apply.</v>
      </c>
      <c r="E338" s="331" t="str">
        <f>VLOOKUP($A338,AI!$A$13:$E$55,5,0)&amp;""</f>
        <v>Based on the response to REQU-04 on the "START HERE" tab, this question does not apply to this product or service.</v>
      </c>
      <c r="F338" s="196"/>
      <c r="G338" s="31" t="str">
        <f>VLOOKUP($A338,Questions!$A$2:$X$333,21,0)&amp;""</f>
        <v>Yes</v>
      </c>
      <c r="H338" s="186"/>
      <c r="I338" s="46" t="str">
        <f>VLOOKUP($A338,Questions!$A$2:$X$333,23,0)&amp;""</f>
        <v>Minor Importance</v>
      </c>
      <c r="J338" s="186"/>
      <c r="K338" s="49" t="b">
        <v>0</v>
      </c>
      <c r="L338" s="1"/>
    </row>
    <row r="339" spans="1:14" s="30" customFormat="1" ht="90" x14ac:dyDescent="0.2">
      <c r="A339" s="19" t="str">
        <f>AI!$A$48</f>
        <v>AIML-08</v>
      </c>
      <c r="B339" s="20" t="str">
        <f>VLOOKUP($A339,AI!$A$13:$E$55,2,0)&amp;""</f>
        <v>Do you watermark your ML training data?</v>
      </c>
      <c r="C339" s="46" t="str">
        <f>VLOOKUP($A339,AI!$A$13:$E$55,3,0)&amp;""</f>
        <v/>
      </c>
      <c r="D339" s="35" t="str">
        <f>IF(LEFT(VLOOKUP($A339,AI!$A$13:$E$55,5,0),21)='Auto Responses'!$A$32,'Auto Responses'!$A$33,VLOOKUP($A339,AI!$A$13:$E$55,4,0))&amp;""</f>
        <v>This question does not apply.</v>
      </c>
      <c r="E339" s="331" t="str">
        <f>VLOOKUP($A339,AI!$A$13:$E$55,5,0)&amp;""</f>
        <v>Based on the response to REQU-04 on the "START HERE" tab, this question does not apply to this product or service.</v>
      </c>
      <c r="F339" s="196"/>
      <c r="G339" s="31" t="str">
        <f>VLOOKUP($A339,Questions!$A$2:$X$333,21,0)&amp;""</f>
        <v>Yes</v>
      </c>
      <c r="H339" s="186"/>
      <c r="I339" s="46" t="str">
        <f>VLOOKUP($A339,Questions!$A$2:$X$333,23,0)&amp;""</f>
        <v>Minor Importance</v>
      </c>
      <c r="J339" s="186"/>
      <c r="K339" s="49" t="b">
        <v>0</v>
      </c>
      <c r="L339" s="1"/>
    </row>
    <row r="340" spans="1:14" s="1" customFormat="1" ht="18" x14ac:dyDescent="0.2">
      <c r="A340" s="64" t="str">
        <f>VLOOKUP(LEFT($A341,4),'Auto Responses'!$N$4:$O$38,2,0)&amp;""</f>
        <v xml:space="preserve"> AI Large Language Model (LLM)</v>
      </c>
      <c r="B340" s="23"/>
      <c r="C340" s="132"/>
      <c r="D340" s="32"/>
      <c r="E340" s="335"/>
      <c r="F340" s="133" t="s">
        <v>1066</v>
      </c>
      <c r="G340" s="336" t="s">
        <v>904</v>
      </c>
      <c r="H340" s="336" t="s">
        <v>906</v>
      </c>
      <c r="I340" s="336" t="s">
        <v>19</v>
      </c>
      <c r="J340" s="336" t="s">
        <v>891</v>
      </c>
      <c r="K340" s="32"/>
    </row>
    <row r="341" spans="1:14" s="30" customFormat="1" ht="90" x14ac:dyDescent="0.2">
      <c r="A341" s="19" t="str">
        <f>AI!$A$50</f>
        <v>AILM-01</v>
      </c>
      <c r="B341" s="20" t="str">
        <f>VLOOKUP($A341,AI!$A$13:$E$55,2,0)&amp;""</f>
        <v>Do you limit your solution's LLM privileges by default?*</v>
      </c>
      <c r="C341" s="46" t="str">
        <f>VLOOKUP($A341,AI!$A$13:$E$55,3,0)&amp;""</f>
        <v/>
      </c>
      <c r="D341" s="35" t="str">
        <f>IF(LEFT(VLOOKUP($A341,AI!$A$13:$E$55,5,0),21)='Auto Responses'!$A$32,'Auto Responses'!$A$33,VLOOKUP($A341,AI!$A$13:$E$55,4,0))&amp;""</f>
        <v>This question does not apply.</v>
      </c>
      <c r="E341" s="331" t="str">
        <f>VLOOKUP($A341,AI!$A$13:$E$55,5,0)&amp;""</f>
        <v>Based on the response to REQU-04 on the "START HERE" tab, this question does not apply to this product or service.</v>
      </c>
      <c r="F341" s="196"/>
      <c r="G341" s="31" t="str">
        <f>VLOOKUP($A341,Questions!$A$2:$X$333,21,0)&amp;""</f>
        <v>Yes</v>
      </c>
      <c r="H341" s="186"/>
      <c r="I341" s="46" t="str">
        <f>VLOOKUP($A341,Questions!$A$2:$X$333,23,0)&amp;""</f>
        <v>Critical Importance</v>
      </c>
      <c r="J341" s="186"/>
      <c r="K341" s="49" t="b">
        <v>0</v>
      </c>
      <c r="L341" s="1"/>
    </row>
    <row r="342" spans="1:14" s="30" customFormat="1" ht="90" x14ac:dyDescent="0.2">
      <c r="A342" s="19" t="str">
        <f>AI!$A$51</f>
        <v>AILM-02</v>
      </c>
      <c r="B342" s="20" t="str">
        <f>VLOOKUP($A342,AI!$A$13:$E$55,2,0)&amp;""</f>
        <v>Is your LLM training data vetted, validated, and verified before training the solution's AI model?*</v>
      </c>
      <c r="C342" s="46" t="str">
        <f>VLOOKUP($A342,AI!$A$13:$E$55,3,0)&amp;""</f>
        <v/>
      </c>
      <c r="D342" s="35" t="str">
        <f>IF(LEFT(VLOOKUP($A342,AI!$A$13:$E$55,5,0),21)='Auto Responses'!$A$32,'Auto Responses'!$A$33,VLOOKUP($A342,AI!$A$13:$E$55,4,0))&amp;""</f>
        <v>This question does not apply.</v>
      </c>
      <c r="E342" s="331" t="str">
        <f>VLOOKUP($A342,AI!$A$13:$E$55,5,0)&amp;""</f>
        <v>Based on the response to REQU-04 on the "START HERE" tab, this question does not apply to this product or service.</v>
      </c>
      <c r="F342" s="196"/>
      <c r="G342" s="31" t="str">
        <f>VLOOKUP($A342,Questions!$A$2:$X$333,21,0)&amp;""</f>
        <v>Yes</v>
      </c>
      <c r="H342" s="186"/>
      <c r="I342" s="46" t="str">
        <f>VLOOKUP($A342,Questions!$A$2:$X$333,23,0)&amp;""</f>
        <v>Critical Importance</v>
      </c>
      <c r="J342" s="186"/>
      <c r="K342" s="49" t="b">
        <v>0</v>
      </c>
      <c r="L342" s="1"/>
    </row>
    <row r="343" spans="1:14" s="30" customFormat="1" ht="90" x14ac:dyDescent="0.2">
      <c r="A343" s="19" t="str">
        <f>AI!$A$52</f>
        <v>AILM-03</v>
      </c>
      <c r="B343" s="20" t="str">
        <f>VLOOKUP($A343,AI!$A$13:$E$55,2,0)&amp;""</f>
        <v>Do any actions taken by your solution's LLM features or plugins require human intervention?*</v>
      </c>
      <c r="C343" s="46" t="str">
        <f>VLOOKUP($A343,AI!$A$13:$E$55,3,0)&amp;""</f>
        <v/>
      </c>
      <c r="D343" s="35" t="str">
        <f>IF(LEFT(VLOOKUP($A343,AI!$A$13:$E$55,5,0),21)='Auto Responses'!$A$32,'Auto Responses'!$A$33,VLOOKUP($A343,AI!$A$13:$E$55,4,0))&amp;""</f>
        <v>This question does not apply.</v>
      </c>
      <c r="E343" s="331" t="str">
        <f>VLOOKUP($A343,AI!$A$13:$E$55,5,0)&amp;""</f>
        <v>Based on the response to REQU-04 on the "START HERE" tab, this question does not apply to this product or service.</v>
      </c>
      <c r="F343" s="196"/>
      <c r="G343" s="31" t="str">
        <f>VLOOKUP($A343,Questions!$A$2:$X$333,21,0)&amp;""</f>
        <v>Yes</v>
      </c>
      <c r="H343" s="186"/>
      <c r="I343" s="46" t="str">
        <f>VLOOKUP($A343,Questions!$A$2:$X$333,23,0)&amp;""</f>
        <v>Critical Importance</v>
      </c>
      <c r="J343" s="186"/>
      <c r="K343" s="49" t="b">
        <v>0</v>
      </c>
      <c r="L343" s="1"/>
    </row>
    <row r="344" spans="1:14" s="30" customFormat="1" ht="90" x14ac:dyDescent="0.2">
      <c r="A344" s="19" t="str">
        <f>AI!$A$53</f>
        <v>AILM-04</v>
      </c>
      <c r="B344" s="20" t="str">
        <f>VLOOKUP($A344,AI!$A$13:$E$55,2,0)&amp;""</f>
        <v>Do you limit multiple LLM model plugins being called as part of a single input?*</v>
      </c>
      <c r="C344" s="46" t="str">
        <f>VLOOKUP($A344,AI!$A$13:$E$55,3,0)&amp;""</f>
        <v/>
      </c>
      <c r="D344" s="35" t="str">
        <f>IF(LEFT(VLOOKUP($A344,AI!$A$13:$E$55,5,0),21)='Auto Responses'!$A$32,'Auto Responses'!$A$33,VLOOKUP($A344,AI!$A$13:$E$55,4,0))&amp;""</f>
        <v>This question does not apply.</v>
      </c>
      <c r="E344" s="331" t="str">
        <f>VLOOKUP($A344,AI!$A$13:$E$55,5,0)&amp;""</f>
        <v>Based on the response to REQU-04 on the "START HERE" tab, this question does not apply to this product or service.</v>
      </c>
      <c r="F344" s="196"/>
      <c r="G344" s="31" t="str">
        <f>VLOOKUP($A344,Questions!$A$2:$X$333,21,0)&amp;""</f>
        <v>Yes</v>
      </c>
      <c r="H344" s="186"/>
      <c r="I344" s="46" t="str">
        <f>VLOOKUP($A344,Questions!$A$2:$X$333,23,0)&amp;""</f>
        <v>Critical Importance</v>
      </c>
      <c r="J344" s="186"/>
      <c r="K344" s="49" t="b">
        <v>0</v>
      </c>
      <c r="L344" s="1"/>
    </row>
    <row r="345" spans="1:14" s="30" customFormat="1" ht="90" x14ac:dyDescent="0.2">
      <c r="A345" s="19" t="str">
        <f>AI!$A$54</f>
        <v>AILM-05</v>
      </c>
      <c r="B345" s="20" t="str">
        <f>VLOOKUP($A345,AI!$A$13:$E$55,2,0)&amp;""</f>
        <v>Do you limit your solution's LLM resource use per request, per step, and per action?</v>
      </c>
      <c r="C345" s="46" t="str">
        <f>VLOOKUP($A345,AI!$A$13:$E$55,3,0)&amp;""</f>
        <v/>
      </c>
      <c r="D345" s="35" t="str">
        <f>IF(LEFT(VLOOKUP($A345,AI!$A$13:$E$55,5,0),21)='Auto Responses'!$A$32,'Auto Responses'!$A$33,VLOOKUP($A345,AI!$A$13:$E$55,4,0))&amp;""</f>
        <v>This question does not apply.</v>
      </c>
      <c r="E345" s="331" t="str">
        <f>VLOOKUP($A345,AI!$A$13:$E$55,5,0)&amp;""</f>
        <v>Based on the response to REQU-04 on the "START HERE" tab, this question does not apply to this product or service.</v>
      </c>
      <c r="F345" s="196"/>
      <c r="G345" s="31" t="str">
        <f>VLOOKUP($A345,Questions!$A$2:$X$333,21,0)&amp;""</f>
        <v>Yes</v>
      </c>
      <c r="H345" s="186"/>
      <c r="I345" s="46" t="str">
        <f>VLOOKUP($A345,Questions!$A$2:$X$333,23,0)&amp;""</f>
        <v>Standard Importance</v>
      </c>
      <c r="J345" s="186"/>
      <c r="K345" s="49" t="b">
        <v>0</v>
      </c>
      <c r="L345" s="1"/>
    </row>
    <row r="346" spans="1:14" s="30" customFormat="1" ht="90" x14ac:dyDescent="0.2">
      <c r="A346" s="19" t="str">
        <f>AI!$A$55</f>
        <v>AILM-06</v>
      </c>
      <c r="B346" s="20" t="str">
        <f>VLOOKUP($A346,AI!$A$13:$E$55,2,0)&amp;""</f>
        <v>Do you leverage LLM model tuning or other model validation mechanisms?</v>
      </c>
      <c r="C346" s="46" t="str">
        <f>VLOOKUP($A346,AI!$A$13:$E$55,3,0)&amp;""</f>
        <v/>
      </c>
      <c r="D346" s="35" t="str">
        <f>IF(LEFT(VLOOKUP($A346,AI!$A$13:$E$55,5,0),21)='Auto Responses'!$A$32,'Auto Responses'!$A$33,VLOOKUP($A346,AI!$A$13:$E$55,4,0))&amp;""</f>
        <v>This question does not apply.</v>
      </c>
      <c r="E346" s="331" t="str">
        <f>VLOOKUP($A346,AI!$A$13:$E$55,5,0)&amp;""</f>
        <v>Based on the response to REQU-04 on the "START HERE" tab, this question does not apply to this product or service.</v>
      </c>
      <c r="F346" s="196"/>
      <c r="G346" s="31" t="str">
        <f>VLOOKUP($A346,Questions!$A$2:$X$333,21,0)&amp;""</f>
        <v>Yes</v>
      </c>
      <c r="H346" s="186"/>
      <c r="I346" s="46" t="str">
        <f>VLOOKUP($A346,Questions!$A$2:$X$333,23,0)&amp;""</f>
        <v>Standard Importance</v>
      </c>
      <c r="J346" s="186"/>
      <c r="K346" s="49" t="b">
        <v>0</v>
      </c>
      <c r="L346" s="1"/>
      <c r="N346" s="239" t="s">
        <v>1505</v>
      </c>
    </row>
    <row r="347" spans="1:14" ht="42" customHeight="1" x14ac:dyDescent="0.2">
      <c r="A347" s="268" t="s">
        <v>1565</v>
      </c>
    </row>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G56:G346 I56:I346 A44:E347"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2.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CA352-70DF-4A8C-BE16-1BA25A2D4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Cole, James Stuart</cp:lastModifiedBy>
  <dcterms:created xsi:type="dcterms:W3CDTF">2024-11-11T16:57:18Z</dcterms:created>
  <dcterms:modified xsi:type="dcterms:W3CDTF">2025-10-20T16:00:23Z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